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ADIZ\"/>
    </mc:Choice>
  </mc:AlternateContent>
  <workbookProtection workbookAlgorithmName="SHA-512" workbookHashValue="lXOwmjH+mNEDTJJlC2pZNL5x6DqZttRgXD38z+Sy5E7SBfWOzjaeF78z21A6+rbwDQAWOIHxCUQxbnMtr+pYPA==" workbookSaltValue="ypr4ZFU7wwdsS2GzbuSt6g=="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BG12" i="13" s="1"/>
  <c r="AY11" i="13"/>
  <c r="BB9" i="13"/>
  <c r="BA9" i="13"/>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D13" i="8"/>
  <c r="AC13" i="8"/>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BD9" i="13"/>
  <c r="AN19" i="17"/>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J13" i="16"/>
  <c r="R13" i="12"/>
  <c r="P20" i="19"/>
  <c r="BE11" i="13"/>
  <c r="BD18" i="8"/>
  <c r="BF18" i="8"/>
  <c r="BC13" i="13"/>
  <c r="N10" i="11"/>
  <c r="N9" i="11"/>
  <c r="ES20" i="8"/>
  <c r="AC20" i="13"/>
  <c r="EP20" i="19"/>
  <c r="T13" i="12"/>
  <c r="BD18" i="13"/>
  <c r="BE17" i="13"/>
  <c r="BF17" i="13"/>
  <c r="AE20" i="8" l="1"/>
  <c r="AC20" i="8"/>
  <c r="R20" i="8"/>
  <c r="C19" i="7"/>
  <c r="B19" i="2"/>
  <c r="AT19" i="20"/>
  <c r="F11" i="17"/>
  <c r="AQ11" i="17" s="1"/>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F15" i="2"/>
  <c r="BE19" i="19"/>
  <c r="AO13" i="27"/>
  <c r="AO19" i="20"/>
  <c r="V20" i="19"/>
  <c r="AE13" i="21"/>
  <c r="AE20" i="21" s="1"/>
  <c r="AD20" i="13"/>
  <c r="AY13" i="13"/>
  <c r="BA19" i="13"/>
  <c r="BD10" i="13"/>
  <c r="BG17" i="13"/>
  <c r="J17" i="10"/>
  <c r="L17" i="10" s="1"/>
  <c r="BE18" i="8"/>
  <c r="BE11" i="8"/>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J12" i="7" s="1"/>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J9" i="7"/>
  <c r="I19" i="2"/>
  <c r="J19" i="2" s="1"/>
  <c r="E15" i="6"/>
  <c r="Z13" i="17"/>
  <c r="C12" i="14"/>
  <c r="K12" i="14" s="1"/>
  <c r="AY13" i="8"/>
  <c r="BE12" i="21"/>
  <c r="BE13" i="21" s="1"/>
  <c r="BE20" i="21" s="1"/>
  <c r="C10" i="14"/>
  <c r="K10" i="14" s="1"/>
  <c r="C15" i="14"/>
  <c r="K15" i="14" s="1"/>
  <c r="E12" i="6"/>
  <c r="H18"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I11" i="7"/>
  <c r="J9" i="2"/>
  <c r="L17" i="14"/>
  <c r="H18" i="2"/>
  <c r="D9" i="12"/>
  <c r="E9" i="12"/>
  <c r="B12" i="6"/>
  <c r="BE9" i="8"/>
  <c r="I9" i="7" s="1"/>
  <c r="T19" i="17"/>
  <c r="E19" i="2"/>
  <c r="F19" i="2" s="1"/>
  <c r="E17" i="6"/>
  <c r="B17" i="6"/>
  <c r="R8" i="9"/>
  <c r="BH13" i="26" s="1"/>
  <c r="AL17" i="11"/>
  <c r="BG9" i="8"/>
  <c r="F11" i="12"/>
  <c r="H9" i="2"/>
  <c r="AN9" i="11"/>
  <c r="D9" i="6"/>
  <c r="J9" i="12" s="1"/>
  <c r="C9" i="6"/>
  <c r="K18" i="7"/>
  <c r="C18" i="6"/>
  <c r="I18" i="12" s="1"/>
  <c r="L18" i="14"/>
  <c r="W13" i="17"/>
  <c r="C15" i="6"/>
  <c r="S18" i="16"/>
  <c r="BV12" i="16"/>
  <c r="BM17" i="11"/>
  <c r="AF13" i="21"/>
  <c r="AF20" i="21" s="1"/>
  <c r="X15" i="16"/>
  <c r="X19" i="16" s="1"/>
  <c r="E18" i="6"/>
  <c r="K18" i="12" s="1"/>
  <c r="B18" i="6"/>
  <c r="AL18" i="11"/>
  <c r="F9" i="12"/>
  <c r="Y9" i="11"/>
  <c r="U13" i="16"/>
  <c r="BD9" i="8"/>
  <c r="H9" i="7" s="1"/>
  <c r="F18" i="17"/>
  <c r="AQ18" i="17" s="1"/>
  <c r="D9" i="2"/>
  <c r="AO9" i="11"/>
  <c r="X11" i="17"/>
  <c r="X17" i="20"/>
  <c r="B15" i="6"/>
  <c r="D15" i="2"/>
  <c r="C19" i="2"/>
  <c r="D19" i="2" s="1"/>
  <c r="AO15" i="11"/>
  <c r="AP19" i="20"/>
  <c r="AY19" i="8"/>
  <c r="BG15" i="8"/>
  <c r="L12" i="14"/>
  <c r="BG17" i="8"/>
  <c r="K17" i="7" s="1"/>
  <c r="X9" i="16"/>
  <c r="X20" i="16"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U12" i="17"/>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AQ17"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X19" i="17" s="1"/>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J11" i="12" s="1"/>
  <c r="E11" i="3"/>
  <c r="BH17" i="16"/>
  <c r="AM18" i="11"/>
  <c r="P20" i="8"/>
  <c r="AO11" i="17"/>
  <c r="BA20" i="19"/>
  <c r="BD13" i="19"/>
  <c r="BF13" i="19"/>
  <c r="AD20" i="8"/>
  <c r="V20" i="8"/>
  <c r="U17" i="21"/>
  <c r="U19" i="21" s="1"/>
  <c r="V18" i="20"/>
  <c r="U15" i="17"/>
  <c r="U19" i="17" s="1"/>
  <c r="X18" i="16"/>
  <c r="D13" i="3"/>
  <c r="N20" i="8"/>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X10" i="16"/>
  <c r="I13" i="17"/>
  <c r="BF12" i="13"/>
  <c r="G19" i="16"/>
  <c r="AX13" i="16"/>
  <c r="BQ13" i="16"/>
  <c r="BQ19" i="16"/>
  <c r="BT19" i="16"/>
  <c r="AF19" i="17"/>
  <c r="Z13" i="16"/>
  <c r="U11" i="17"/>
  <c r="W20" i="21"/>
  <c r="R13" i="16"/>
  <c r="AR13" i="17"/>
  <c r="F12" i="17"/>
  <c r="AQ12" i="17" s="1"/>
  <c r="AI13" i="16"/>
  <c r="AI20" i="16" s="1"/>
  <c r="I19" i="17"/>
  <c r="L19" i="16"/>
  <c r="AZ19" i="20"/>
  <c r="AZ20" i="20" s="1"/>
  <c r="Y13" i="1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N21" i="20"/>
  <c r="BN21" i="26"/>
  <c r="BF21" i="26"/>
  <c r="AP21" i="26"/>
  <c r="P21" i="27"/>
  <c r="AK21" i="20"/>
  <c r="AZ21" i="26"/>
  <c r="AI21" i="26"/>
  <c r="Y21" i="20"/>
  <c r="M21" i="27"/>
  <c r="AD21" i="26"/>
  <c r="BH21" i="26"/>
  <c r="R21" i="20"/>
  <c r="L21" i="20"/>
  <c r="R21" i="27"/>
  <c r="L21" i="27"/>
  <c r="AJ21" i="26"/>
  <c r="AJ21" i="27"/>
  <c r="K21" i="26"/>
  <c r="O17" i="11"/>
  <c r="AM21" i="26"/>
  <c r="BS21" i="26"/>
  <c r="I21" i="20"/>
  <c r="F21" i="20"/>
  <c r="AC21" i="27"/>
  <c r="U21" i="27"/>
  <c r="AK21" i="27"/>
  <c r="T21" i="21"/>
  <c r="J21" i="27"/>
  <c r="U17" i="11"/>
  <c r="K21" i="27"/>
  <c r="Z21" i="26"/>
  <c r="E21" i="27"/>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BA21" i="26"/>
  <c r="AX21" i="20"/>
  <c r="R21" i="26"/>
  <c r="BB21" i="26"/>
  <c r="T21" i="27"/>
  <c r="AB21" i="20"/>
  <c r="Y21" i="27"/>
  <c r="AL21" i="20"/>
  <c r="Z21" i="20"/>
  <c r="AQ21" i="20"/>
  <c r="AG21" i="27"/>
  <c r="AX21" i="27"/>
  <c r="G13" i="14"/>
  <c r="N21" i="26"/>
  <c r="AE21" i="26"/>
  <c r="AP21" i="20"/>
  <c r="J21" i="26"/>
  <c r="K21" i="20"/>
  <c r="AN21" i="20"/>
  <c r="AC21" i="20"/>
  <c r="AP21" i="27"/>
  <c r="AT21" i="26"/>
  <c r="AO21" i="20"/>
  <c r="AD21" i="27"/>
  <c r="AQ21" i="21"/>
  <c r="AZ21" i="27"/>
  <c r="E21" i="26"/>
  <c r="BJ21" i="26"/>
  <c r="X21" i="20"/>
  <c r="AA21" i="26"/>
  <c r="P21" i="20"/>
  <c r="BR21" i="26"/>
  <c r="AN21" i="27"/>
  <c r="BI21" i="26"/>
  <c r="O10" i="11"/>
  <c r="AO21" i="27"/>
  <c r="U18" i="11"/>
  <c r="I21" i="27"/>
  <c r="BM20" i="26" l="1"/>
  <c r="G20" i="7"/>
  <c r="BD19" i="13"/>
  <c r="BE19" i="13"/>
  <c r="BF19" i="13"/>
  <c r="K12" i="12"/>
  <c r="BH19" i="26"/>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H13" i="14"/>
  <c r="Z13" i="14"/>
  <c r="Y13" i="14"/>
  <c r="W13" i="14"/>
  <c r="Q13" i="14"/>
  <c r="AC13" i="14"/>
  <c r="AD13" i="14"/>
  <c r="M13" i="14"/>
  <c r="AA13" i="14"/>
  <c r="P13" i="14"/>
  <c r="X13" i="14"/>
  <c r="AB13" i="14"/>
  <c r="U19" i="11"/>
  <c r="AS21" i="20"/>
  <c r="O19" i="11"/>
  <c r="BL21" i="26"/>
  <c r="W19" i="14"/>
  <c r="Z19" i="14"/>
  <c r="AD19" i="14"/>
  <c r="P19" i="14"/>
  <c r="AC19" i="14"/>
  <c r="M19" i="14"/>
  <c r="AA19" i="14"/>
  <c r="H19" i="14"/>
  <c r="X19" i="14"/>
  <c r="Q19" i="14"/>
  <c r="Y19" i="14"/>
  <c r="AB19" i="14"/>
  <c r="U13" i="11"/>
  <c r="V10" i="11"/>
  <c r="U22" i="11"/>
  <c r="U20" i="11"/>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U21" i="17"/>
  <c r="AV21" i="21"/>
  <c r="BP21" i="16"/>
  <c r="AX21" i="21"/>
  <c r="AT21" i="27"/>
  <c r="BR21" i="16"/>
  <c r="AW21" i="11"/>
  <c r="H21" i="17"/>
  <c r="V19" i="26" l="1"/>
  <c r="X20" i="26"/>
  <c r="X13" i="26"/>
  <c r="BV13" i="26"/>
  <c r="BV22" i="26" s="1"/>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D21" i="12"/>
  <c r="Q21" i="17"/>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<sst xmlns="http://schemas.openxmlformats.org/spreadsheetml/2006/main" count="2527" uniqueCount="1026">
  <si>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</si>
  <si>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</si>
  <si>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</si>
  <si>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</si>
  <si>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</si>
  <si>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</si>
  <si>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</si>
  <si>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</si>
  <si>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</si>
  <si>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</si>
  <si>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</si>
  <si>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</si>
  <si>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</si>
  <si>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</si>
  <si>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</si>
  <si>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</si>
  <si>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</si>
  <si>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</si>
  <si>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</si>
  <si>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</si>
  <si>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</si>
  <si>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</si>
  <si>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</si>
  <si>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</si>
  <si>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</si>
  <si>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</si>
  <si>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</si>
  <si>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</si>
  <si>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</si>
  <si>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</si>
  <si>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</si>
  <si>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</si>
  <si>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</si>
  <si>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</si>
  <si>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</si>
  <si>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</si>
  <si>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</si>
  <si>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</si>
  <si>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</si>
  <si>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</si>
  <si>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</si>
  <si>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</si>
  <si>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</si>
  <si>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</si>
  <si>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</si>
  <si>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</si>
  <si>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</si>
  <si>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</si>
  <si>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</si>
  <si>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</si>
  <si>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</si>
  <si>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</si>
  <si>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</si>
  <si>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</si>
  <si>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</si>
  <si>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</si>
  <si>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</si>
  <si>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</si>
  <si>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</si>
  <si>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</si>
  <si>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</si>
  <si>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</si>
  <si>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</si>
  <si>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</si>
  <si>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</si>
  <si>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</si>
  <si>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</si>
  <si>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</si>
  <si>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</si>
  <si>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</si>
  <si>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</si>
  <si>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</si>
  <si>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</si>
  <si>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</si>
  <si>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</si>
  <si>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</si>
  <si>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</si>
  <si>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</si>
  <si>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</si>
  <si>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</si>
  <si>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</si>
  <si>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</si>
  <si>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</si>
  <si>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</si>
  <si>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</si>
  <si>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</si>
  <si>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</si>
  <si>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</si>
  <si>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</si>
  <si>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</si>
  <si>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</si>
  <si>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</si>
  <si>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</si>
  <si>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</si>
  <si>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</si>
  <si>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</si>
  <si>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</si>
  <si>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</si>
  <si>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</si>
  <si>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</si>
  <si>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</si>
  <si>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</si>
  <si>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</si>
  <si>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</si>
  <si>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</si>
  <si>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</si>
  <si>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</si>
  <si>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</si>
  <si>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</si>
  <si>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</si>
  <si>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</si>
  <si>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</si>
  <si>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</si>
  <si>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</si>
  <si>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</si>
  <si>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</si>
  <si>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</si>
  <si>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</si>
  <si>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</si>
  <si>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</si>
  <si>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</si>
  <si>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</si>
  <si>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</si>
  <si>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</si>
  <si>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</si>
  <si>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</si>
  <si>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</si>
  <si>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</si>
  <si>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</si>
  <si>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</si>
  <si>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</si>
  <si>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</si>
  <si>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</si>
  <si>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</si>
  <si>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</si>
  <si>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</si>
  <si>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</si>
  <si>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</si>
  <si>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</si>
  <si>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</si>
  <si>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</si>
  <si>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</si>
  <si>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</si>
  <si>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</si>
  <si>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</si>
  <si>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</si>
  <si>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</si>
  <si>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</si>
  <si>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</si>
  <si>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</si>
  <si>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</si>
  <si>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</si>
  <si>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</si>
  <si>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</si>
  <si>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</si>
  <si>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</si>
  <si>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</si>
  <si>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</si>
  <si>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</si>
  <si>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</si>
  <si>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</si>
  <si>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</si>
  <si>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</si>
  <si>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</si>
  <si>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</si>
  <si>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</si>
  <si>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</si>
  <si>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</si>
  <si>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</si>
  <si>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</si>
  <si>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</si>
  <si>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</si>
  <si>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</si>
  <si>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</si>
  <si>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</si>
  <si>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</si>
  <si>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</si>
  <si>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</si>
  <si>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</si>
  <si>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</si>
  <si>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</si>
  <si>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</si>
  <si>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</si>
  <si>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</si>
  <si>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</si>
  <si>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</si>
  <si>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</si>
  <si>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</si>
  <si>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</si>
  <si>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</si>
  <si>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</si>
  <si>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</si>
  <si>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</si>
  <si>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</si>
  <si>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</si>
  <si>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</si>
  <si>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</si>
  <si>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</si>
  <si>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</si>
  <si>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</si>
  <si>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</si>
  <si>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</si>
  <si>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</si>
  <si>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</si>
  <si>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</si>
  <si>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</si>
  <si>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</si>
  <si>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</si>
  <si>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</si>
  <si>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</si>
  <si>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</si>
  <si>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</si>
  <si>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</si>
  <si>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</si>
  <si>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</si>
  <si>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</si>
  <si>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</si>
  <si>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</si>
  <si>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</si>
  <si>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</si>
  <si>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</si>
  <si>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</si>
  <si>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</si>
  <si>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</si>
  <si>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</si>
  <si>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</si>
  <si>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</si>
  <si>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</si>
  <si>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</si>
  <si>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</si>
  <si>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</si>
  <si>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</si>
  <si>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</si>
  <si>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</si>
  <si>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</si>
  <si>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</si>
  <si>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</si>
  <si>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</si>
  <si>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</si>
  <si>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</si>
  <si>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</si>
  <si>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</si>
  <si>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</si>
  <si>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</si>
  <si>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</si>
  <si>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</si>
  <si>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</si>
  <si>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</si>
  <si>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</si>
  <si>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</si>
  <si>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</si>
  <si>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</si>
  <si>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</si>
  <si>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</si>
  <si>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</si>
  <si>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</si>
  <si>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</si>
  <si>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</si>
  <si>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</si>
  <si>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</si>
  <si>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</si>
  <si>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</si>
  <si>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</si>
  <si>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</si>
  <si>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</si>
  <si>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</si>
  <si>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</si>
  <si>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</si>
  <si>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</si>
  <si>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</si>
  <si>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</si>
  <si>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</si>
  <si>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</si>
  <si>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</si>
  <si>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</si>
  <si>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</si>
  <si>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</si>
  <si>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</si>
  <si>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</si>
  <si>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</si>
  <si>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</si>
  <si>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</si>
  <si>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</si>
  <si>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</si>
  <si>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</si>
  <si>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</si>
  <si>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</si>
  <si>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</si>
  <si>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</si>
  <si>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</si>
  <si>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</si>
  <si>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</si>
  <si>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</si>
  <si>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</si>
  <si>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</si>
  <si>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</si>
  <si>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</si>
  <si>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</si>
  <si>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</si>
  <si>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</si>
  <si>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</si>
  <si>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</si>
  <si>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</si>
  <si>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</si>
  <si>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</si>
  <si>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</si>
  <si>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</si>
  <si>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</si>
  <si>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</si>
  <si>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</si>
  <si>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</si>
  <si>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</si>
  <si>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</si>
  <si>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</si>
  <si>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</si>
  <si>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</si>
  <si>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</si>
  <si>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</si>
  <si>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</si>
  <si>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</si>
  <si>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</si>
  <si>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</si>
  <si>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</si>
  <si>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</si>
  <si>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</si>
  <si>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</si>
  <si>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</si>
  <si>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</si>
  <si>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</si>
  <si>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</si>
  <si>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</si>
  <si>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</si>
  <si>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</si>
  <si>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</si>
  <si>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</si>
  <si>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</si>
  <si>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</si>
  <si>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</si>
  <si>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</si>
  <si>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</si>
  <si>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</si>
  <si>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</si>
  <si>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</si>
  <si>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</si>
  <si>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</si>
  <si>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</si>
  <si>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</si>
  <si>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</si>
  <si>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</si>
  <si>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</si>
  <si>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</si>
  <si>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</si>
  <si>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</si>
  <si>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</si>
  <si>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</si>
  <si>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</si>
  <si>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</si>
  <si>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</si>
  <si>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</si>
  <si>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</si>
  <si>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</si>
  <si>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</si>
  <si>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</si>
  <si>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</si>
  <si>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</si>
  <si>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</si>
  <si>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</si>
  <si>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</si>
  <si>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</si>
  <si>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</si>
  <si>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</si>
  <si>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</si>
  <si>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</si>
  <si>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</si>
  <si>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</si>
  <si>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</si>
  <si>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</si>
  <si>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</si>
  <si>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</si>
  <si>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</si>
  <si>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</si>
  <si>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</si>
  <si>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</si>
  <si>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</si>
  <si>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</si>
  <si>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</si>
  <si>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</si>
  <si>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</si>
  <si>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</si>
  <si>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</si>
  <si>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</si>
  <si>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</si>
  <si>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</si>
  <si>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</si>
  <si>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</si>
  <si>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</si>
  <si>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</si>
  <si>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</si>
  <si>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</si>
  <si>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</si>
  <si>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</si>
  <si>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</si>
  <si>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</si>
  <si>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</si>
  <si>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</si>
  <si>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</si>
  <si>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</si>
  <si>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</si>
  <si>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</si>
  <si>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</si>
  <si>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</si>
  <si>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</si>
  <si>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</si>
  <si>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</si>
  <si>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</si>
  <si>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</si>
  <si>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</si>
  <si>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</si>
  <si>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</si>
  <si>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</si>
  <si>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</si>
  <si>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</si>
  <si>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</si>
  <si>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</si>
  <si>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</si>
  <si>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</si>
  <si>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</si>
  <si>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</si>
  <si>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</si>
  <si>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</si>
  <si>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</si>
  <si>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</si>
  <si>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</si>
  <si>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</si>
  <si>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</si>
  <si>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</si>
  <si>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</si>
  <si>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</si>
  <si>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</si>
  <si>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</si>
  <si>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</si>
  <si>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</si>
  <si>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</si>
  <si>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</si>
  <si>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</si>
  <si>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</si>
  <si>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</si>
  <si>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</si>
  <si>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</si>
  <si>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</si>
  <si>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</si>
  <si>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</si>
  <si>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</si>
  <si>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</si>
  <si>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</si>
  <si>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</si>
  <si>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</si>
  <si>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</si>
  <si>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</si>
  <si>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</si>
  <si>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</si>
  <si>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</si>
  <si>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</si>
  <si>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</si>
  <si>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</si>
  <si>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</si>
  <si>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</si>
  <si>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</si>
  <si>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</si>
  <si>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</si>
  <si>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</si>
  <si>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</si>
  <si>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</si>
  <si>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</si>
  <si>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</si>
  <si>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</si>
  <si>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</si>
  <si>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</si>
  <si>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</si>
  <si>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</si>
  <si>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</si>
  <si>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</si>
  <si>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</si>
  <si>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</si>
  <si>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</si>
  <si>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</si>
  <si>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</si>
  <si>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</si>
  <si>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</si>
  <si>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</si>
  <si>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</si>
  <si>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</si>
  <si>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</si>
  <si>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</si>
  <si>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</si>
  <si>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</si>
  <si>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</si>
  <si>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</si>
  <si>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</si>
  <si>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</si>
  <si>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</si>
  <si>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</si>
  <si>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</si>
  <si>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</si>
  <si>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</si>
  <si>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</si>
  <si>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</si>
  <si>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</si>
  <si>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</si>
  <si>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</si>
  <si>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</si>
  <si>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</si>
  <si>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</si>
  <si>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</si>
  <si>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</si>
  <si>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</si>
  <si>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</si>
  <si>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</si>
  <si>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</si>
  <si>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</si>
  <si>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</si>
  <si>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</si>
  <si>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</si>
  <si>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</si>
  <si>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</si>
  <si>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</si>
  <si>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</si>
  <si>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</si>
  <si>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</si>
  <si>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</si>
  <si>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</si>
  <si>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</si>
  <si>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</si>
  <si>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</si>
  <si>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</si>
  <si>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</si>
  <si>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</si>
  <si>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</si>
  <si>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</si>
  <si>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</si>
  <si>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</si>
  <si>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</si>
  <si>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</si>
  <si>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</si>
  <si>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</si>
  <si>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</si>
  <si>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</si>
  <si>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</si>
  <si>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</si>
  <si>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</si>
  <si>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</si>
  <si>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</si>
  <si>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</si>
  <si>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</si>
  <si>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</si>
  <si>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</si>
  <si>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</si>
  <si>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</si>
  <si>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</si>
  <si>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</si>
  <si>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</si>
  <si>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</si>
  <si>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</si>
  <si>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</si>
  <si>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</si>
  <si>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</si>
  <si>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</si>
  <si>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</si>
  <si>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</si>
  <si>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</si>
  <si>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</si>
  <si>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</si>
  <si>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</si>
  <si>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</si>
  <si>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</si>
  <si>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</si>
  <si>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</si>
  <si>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</si>
  <si>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</si>
  <si>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</si>
  <si>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</si>
  <si>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</si>
  <si>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</si>
  <si>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</si>
  <si>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</si>
  <si>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</si>
  <si>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</si>
  <si>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</si>
  <si>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</si>
  <si>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</si>
  <si>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</si>
  <si>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</si>
  <si>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</si>
  <si>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</si>
  <si>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</si>
  <si>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</si>
  <si>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</si>
  <si>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</si>
  <si>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</si>
  <si>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</si>
  <si>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</si>
  <si>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</si>
  <si>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</si>
  <si>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</si>
  <si>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</si>
  <si>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</si>
  <si>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</si>
  <si>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</si>
  <si>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</si>
  <si>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</si>
  <si>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</si>
  <si>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</si>
  <si>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</si>
  <si>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</si>
  <si>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</si>
  <si>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</si>
  <si>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</si>
  <si>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</si>
  <si>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</si>
  <si>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</si>
  <si>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</si>
  <si>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</si>
  <si>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</si>
  <si>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</si>
  <si>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</si>
  <si>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</si>
  <si>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</si>
  <si>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</si>
  <si>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</si>
  <si>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</si>
  <si>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</si>
  <si>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</si>
  <si>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</si>
  <si>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</si>
  <si>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</si>
  <si>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</si>
  <si>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</si>
  <si>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</si>
  <si>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</si>
  <si>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</si>
  <si>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</si>
  <si>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</si>
  <si>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</si>
  <si>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</si>
  <si>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</si>
  <si>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</si>
  <si>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</si>
  <si>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</si>
  <si>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</si>
  <si>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</si>
  <si>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</si>
  <si>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</si>
  <si>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</si>
  <si>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</si>
  <si>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</si>
  <si>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</si>
  <si>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</si>
  <si>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</si>
  <si>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</si>
  <si>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</si>
  <si>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</si>
  <si>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</si>
  <si>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</si>
  <si>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</si>
  <si>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</si>
  <si>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</si>
  <si>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</si>
  <si>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</si>
  <si>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</si>
  <si>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</si>
  <si>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</si>
  <si>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</si>
  <si>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</si>
  <si>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</si>
  <si>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</si>
  <si>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</si>
  <si>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</si>
  <si>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</si>
  <si>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</si>
  <si>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</si>
  <si>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</si>
  <si>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</si>
  <si>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</si>
  <si>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</si>
  <si>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</si>
  <si>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</si>
  <si>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</si>
  <si>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</si>
  <si>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</si>
  <si>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</si>
  <si>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</si>
  <si>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</si>
  <si>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</si>
  <si>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</si>
  <si>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</si>
  <si>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</si>
  <si>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</si>
  <si>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</si>
  <si>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</si>
  <si>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</si>
  <si>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</si>
  <si>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</si>
  <si>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</si>
  <si>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</si>
  <si>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</si>
  <si>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</si>
  <si>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</si>
  <si>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</si>
  <si>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</si>
  <si>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</si>
  <si>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</si>
  <si>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</si>
  <si>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</si>
  <si>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</si>
  <si>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</si>
  <si>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</si>
  <si>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</si>
  <si>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</si>
  <si>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</si>
  <si>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</si>
  <si>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</si>
  <si>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</si>
  <si>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</si>
  <si>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</si>
  <si>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</si>
  <si>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</si>
  <si>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</si>
  <si>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</si>
  <si>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</si>
  <si>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</si>
  <si>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</si>
  <si>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</si>
  <si>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</si>
  <si>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</si>
  <si>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</si>
  <si>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</si>
  <si>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</si>
  <si>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</si>
  <si>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</si>
  <si>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</si>
  <si>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</si>
  <si>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</si>
  <si>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</si>
  <si>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</si>
  <si>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</si>
  <si>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</si>
  <si>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</si>
  <si>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</si>
  <si>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</si>
  <si>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</si>
  <si>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</si>
  <si>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</si>
  <si>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</si>
  <si>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</si>
  <si>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</si>
  <si>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</si>
  <si>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</si>
  <si>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</si>
  <si>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</si>
  <si>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</si>
  <si>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</si>
  <si>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</si>
  <si>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</si>
  <si>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</si>
  <si>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</si>
  <si>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</si>
  <si>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</si>
  <si>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</si>
  <si>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</si>
  <si>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</si>
  <si>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</si>
  <si>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</si>
  <si>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</si>
  <si>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</si>
  <si>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</si>
  <si>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</si>
  <si>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</si>
  <si>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</si>
  <si>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</si>
  <si>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</si>
  <si>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</si>
  <si>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</si>
  <si>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</si>
  <si>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</si>
  <si>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</si>
  <si>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</si>
  <si>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</si>
  <si>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</si>
  <si>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</si>
  <si>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</si>
  <si>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</si>
  <si>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</si>
  <si>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</si>
  <si>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</si>
  <si>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</si>
  <si>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</si>
  <si>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</si>
  <si>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</si>
  <si>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</si>
  <si>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</si>
  <si>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</si>
  <si>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</si>
  <si>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</si>
  <si>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</si>
  <si>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</si>
  <si>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</si>
  <si>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</si>
  <si>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</si>
  <si>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</si>
  <si>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</si>
  <si>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</si>
  <si>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</si>
  <si>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</si>
  <si>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</si>
  <si>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</si>
  <si>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</si>
  <si>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</si>
  <si>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</si>
  <si>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</si>
  <si>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</si>
  <si>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</si>
  <si>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</si>
  <si>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</si>
  <si>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</si>
  <si>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</si>
  <si>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</si>
  <si>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</si>
  <si>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</si>
  <si>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</si>
  <si>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</si>
  <si>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</si>
  <si>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</si>
  <si>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</si>
  <si>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</si>
  <si>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</si>
  <si>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</si>
  <si>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</si>
  <si>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</si>
  <si>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</si>
  <si>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</si>
  <si>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</si>
  <si>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</si>
  <si>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</si>
  <si>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</si>
  <si>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</si>
  <si>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</si>
  <si>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</si>
  <si>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</si>
  <si>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</si>
  <si>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</si>
  <si>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</si>
  <si>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</si>
  <si>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</si>
  <si>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</si>
  <si>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</si>
  <si>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</si>
  <si>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</si>
  <si>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</si>
  <si>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</si>
  <si>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</si>
  <si>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</si>
  <si>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</si>
  <si>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</si>
  <si>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</si>
  <si>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</si>
  <si>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</si>
  <si>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</si>
  <si>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</si>
  <si>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</si>
  <si>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</si>
  <si>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</si>
  <si>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</si>
  <si>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</si>
  <si>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</si>
  <si>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</si>
  <si>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</si>
  <si>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</si>
  <si>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</si>
  <si>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</si>
  <si>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</si>
  <si>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</si>
  <si>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</si>
  <si>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</si>
  <si>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</si>
  <si>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</si>
  <si>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</si>
  <si>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</si>
  <si>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</si>
  <si>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</si>
  <si>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</si>
  <si>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</si>
  <si>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</si>
  <si>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</si>
  <si>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</si>
  <si>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</si>
  <si>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</si>
  <si>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</si>
  <si>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</si>
  <si>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</si>
  <si>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</si>
  <si>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</si>
  <si>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</si>
  <si>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</si>
  <si>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</si>
  <si>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</si>
  <si>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</si>
  <si>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</si>
  <si>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</si>
  <si>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</si>
  <si>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</si>
  <si>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</si>
  <si>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</si>
  <si>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</si>
  <si>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</si>
  <si>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</si>
  <si>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</si>
  <si>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</si>
  <si>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</si>
  <si>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</si>
  <si>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</si>
  <si>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</si>
  <si>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</si>
  <si>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</si>
  <si>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</si>
  <si>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</si>
  <si>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</si>
  <si>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</si>
  <si>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</si>
  <si>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</si>
  <si>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</si>
  <si>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</si>
  <si>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</si>
  <si>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</si>
  <si>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</si>
  <si>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</si>
  <si>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</si>
  <si>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</si>
  <si>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</si>
  <si>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</si>
  <si>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</si>
  <si>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</si>
  <si>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</si>
  <si>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</si>
  <si>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</si>
  <si>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</si>
  <si>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</si>
  <si>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</si>
  <si>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</si>
  <si>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</si>
  <si>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</si>
  <si>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</si>
  <si>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</si>
  <si>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</si>
  <si>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</si>
  <si>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</si>
  <si>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</si>
  <si>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</si>
  <si>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</si>
  <si>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</si>
  <si>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</si>
  <si>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</si>
  <si>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</si>
  <si>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</si>
  <si>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</si>
  <si>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</si>
  <si>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</si>
  <si>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</si>
  <si>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</si>
  <si>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</si>
  <si>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</si>
  <si>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</si>
  <si>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</si>
  <si>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</si>
  <si>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</si>
  <si>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</si>
  <si>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</si>
  <si>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</si>
  <si>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</si>
  <si>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</si>
  <si>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</si>
  <si>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</si>
  <si>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</si>
  <si>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</si>
  <si>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</si>
  <si>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</si>
  <si>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</si>
  <si>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</si>
  <si>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</si>
  <si>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</si>
  <si>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</si>
  <si>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</si>
  <si>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</si>
  <si>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</si>
  <si>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</si>
  <si>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</si>
  <si>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</si>
  <si>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</si>
  <si>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</si>
  <si>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</si>
  <si>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</si>
  <si>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</si>
  <si>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</si>
  <si>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</si>
  <si>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</si>
  <si>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</si>
  <si>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</si>
  <si>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</si>
  <si>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</si>
  <si>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</si>
  <si>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</si>
  <si>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</si>
  <si>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</si>
  <si>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</si>
  <si>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</si>
  <si>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</si>
  <si>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</si>
  <si>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</si>
  <si>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</si>
  <si>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</si>
  <si>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</si>
  <si>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</si>
  <si>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ANDALUCIA</t>
  </si>
  <si>
    <t>Provincias</t>
  </si>
  <si>
    <t>CADIZ</t>
  </si>
  <si>
    <t>Resumenes por Partidos Judiciales</t>
  </si>
  <si>
    <t>CEUTA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</si>
</sst>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vkUEjYgIkUceDCU1IIjDKINGadlRFoC2ynGr6vKTdwQO3RVbuazf2VMoVzR+RAX2wNDWsIla6/FTs0/K+eccSQ==" saltValue="LI2j4mZsp1dCQcuNPhBvdw=="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ANDALUCIA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53</v>
      </c>
      <c r="D10" s="224">
        <f>IF(ISNUMBER(Datos!I10),Datos!I10," - ")</f>
        <v>53</v>
      </c>
      <c r="E10" s="225">
        <f>IF(ISNUMBER(Datos!J10),Datos!J10," - ")</f>
        <v>19</v>
      </c>
      <c r="F10" s="225">
        <f>IF(ISNUMBER(Datos!K10),Datos!K10," - ")</f>
        <v>13</v>
      </c>
      <c r="G10" s="1029" t="str">
        <f>IF(Datos!E10&lt;&gt;"",Datos!E10,Datos!D10)</f>
        <v>37</v>
      </c>
      <c r="H10" s="226">
        <f>IF(ISNUMBER(Datos!L10),Datos!L10," - ")</f>
        <v>59</v>
      </c>
      <c r="I10" s="1039" t="str">
        <f>IF(ISNUMBER(Datos!AS10/Datos!BM10),Datos!AS10/Datos!BM10," - ")</f>
        <v xml:space="preserve"> - </v>
      </c>
      <c r="J10" s="1040">
        <f>IF(ISNUMBER(Datos!BY10/Datos!CN10),Datos!BY10/Datos!CN10," - ")</f>
        <v>0</v>
      </c>
      <c r="K10" s="229">
        <f t="shared" ref="K10:K12" si="1">IF(ISNUMBER((E10-F10)/C10),(E10-F10)/C10," - ")</f>
        <v>0.11320754716981132</v>
      </c>
      <c r="L10" s="1020">
        <f>IF(ISNUMBER(NºAsuntos!I10/NºAsuntos!G10),(NºAsuntos!I10/NºAsuntos!G10)*11," - ")</f>
        <v>49.92307692307692</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6</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13.541832669322709</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53</v>
      </c>
      <c r="D13" s="1044">
        <f>SUBTOTAL(9,D9:D12)</f>
        <v>53</v>
      </c>
      <c r="E13" s="1045">
        <f>SUBTOTAL(9,E9:E12)</f>
        <v>19</v>
      </c>
      <c r="F13" s="1046">
        <f>SUBTOTAL(9,F9:F12)</f>
        <v>13</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6</v>
      </c>
      <c r="B17" s="501" t="str">
        <f>Datos!A17</f>
        <v xml:space="preserve">Sección Civil y de Inst. TI                      </v>
      </c>
      <c r="C17" s="224">
        <f t="shared" si="2"/>
        <v>983</v>
      </c>
      <c r="D17" s="224">
        <f>IF(ISNUMBER(IF(D_I="SI",Datos!I17,Datos!I17+Datos!AC17)),IF(D_I="SI",Datos!I17,Datos!I17+Datos!AC17)," - ")</f>
        <v>982</v>
      </c>
      <c r="E17" s="225">
        <f>IF(ISNUMBER(IF(D_I="SI",Datos!J17,Datos!J17+Datos!AD17)),IF(D_I="SI",Datos!J17,Datos!J17+Datos!AD17)," - ")</f>
        <v>1179</v>
      </c>
      <c r="F17" s="225">
        <f>IF(ISNUMBER(IF(D_I="SI",Datos!K17,Datos!K17+Datos!AE17)),IF(D_I="SI",Datos!K17,Datos!K17+Datos!AE17)," - ")</f>
        <v>1269</v>
      </c>
      <c r="G17" s="1029" t="str">
        <f>IF(Datos!E17&lt;&gt;"",Datos!E17,Datos!D17)</f>
        <v>04</v>
      </c>
      <c r="H17" s="226">
        <f>IF(ISNUMBER(IF(D_I="SI",Datos!L17,Datos!L17+Datos!AF17)),IF(D_I="SI",Datos!L17,Datos!L17+Datos!AF17)," - ")</f>
        <v>893</v>
      </c>
      <c r="I17" s="1039" t="str">
        <f>IF(ISNUMBER(Datos!AS17/Datos!BM17),Datos!AS17/Datos!BM17," - ")</f>
        <v xml:space="preserve"> - </v>
      </c>
      <c r="J17" s="1040">
        <f>IF(ISNUMBER(Datos!BY17/Datos!CN17),Datos!BY17/Datos!CN17," - ")</f>
        <v>0</v>
      </c>
      <c r="K17" s="229">
        <f t="shared" si="3"/>
        <v>-9.1556459816887079E-2</v>
      </c>
      <c r="L17" s="1020">
        <f>IF(ISNUMBER(NºAsuntos!I17/NºAsuntos!G17),(NºAsuntos!I17/NºAsuntos!G17)*11," - ")</f>
        <v>7.7407407407407405</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122</v>
      </c>
      <c r="D18" s="224">
        <f>IF(ISNUMBER(IF(D_I="SI",Datos!I18,Datos!I18+Datos!AC18)),IF(D_I="SI",Datos!I18,Datos!I18+Datos!AC18)," - ")</f>
        <v>56</v>
      </c>
      <c r="E18" s="225">
        <f>IF(ISNUMBER(IF(D_I="SI",Datos!J18,Datos!J18+Datos!AD18)),IF(D_I="SI",Datos!J18,Datos!J18+Datos!AD18)," - ")</f>
        <v>127</v>
      </c>
      <c r="F18" s="225">
        <f>IF(ISNUMBER(IF(D_I="SI",Datos!K18,Datos!K18+Datos!AE18)),IF(D_I="SI",Datos!K18,Datos!K18+Datos!AE18)," - ")</f>
        <v>115</v>
      </c>
      <c r="G18" s="1029" t="str">
        <f>IF(Datos!E18&lt;&gt;"",Datos!E18,Datos!D18)</f>
        <v>37</v>
      </c>
      <c r="H18" s="226">
        <f>IF(ISNUMBER(IF(D_I="SI",Datos!L18,Datos!L18+Datos!AF18)),IF(D_I="SI",Datos!L18,Datos!L18+Datos!AF18)," - ")</f>
        <v>134</v>
      </c>
      <c r="I18" s="1039" t="str">
        <f>IF(ISNUMBER(Datos!AS18/Datos!BM18),Datos!AS18/Datos!BM18," - ")</f>
        <v xml:space="preserve"> - </v>
      </c>
      <c r="J18" s="1040" t="str">
        <f>IF(ISNUMBER((Datos!BY18+Datos!BZ18)/Datos!CN18),(Datos!BY18+Datos!BZ18)/Datos!CN18," - ")</f>
        <v xml:space="preserve"> - </v>
      </c>
      <c r="K18" s="229">
        <f t="shared" si="3"/>
        <v>9.8360655737704916E-2</v>
      </c>
      <c r="L18" s="1020">
        <f>IF(ISNUMBER(NºAsuntos!I18/NºAsuntos!G18),(NºAsuntos!I18/NºAsuntos!G18)*11," - ")</f>
        <v>12.817391304347826</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1105</v>
      </c>
      <c r="D19" s="1044">
        <f>SUBTOTAL(9,D15:D18)</f>
        <v>1038</v>
      </c>
      <c r="E19" s="1045">
        <f>SUBTOTAL(9,E15:E18)</f>
        <v>1306</v>
      </c>
      <c r="F19" s="1045">
        <f>SUBTOTAL(9,F15:F18)</f>
        <v>1384</v>
      </c>
      <c r="G19" s="1047" t="str">
        <f ca="1">INDIRECT(CONCATENATE("G",ROW()-1))</f>
        <v>37</v>
      </c>
      <c r="H19" s="1048">
        <f ca="1">SUMIF(G$14:G18,G19,H$14:H18)</f>
        <v>134</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1158</v>
      </c>
      <c r="D20" s="1066">
        <f>SUBTOTAL(9,D9:D19)</f>
        <v>1091</v>
      </c>
      <c r="E20" s="1067">
        <f>SUBTOTAL(9,E9:E19)</f>
        <v>1325</v>
      </c>
      <c r="F20" s="1067">
        <f>SUBTOTAL(9,F9:F19)</f>
        <v>1397</v>
      </c>
      <c r="G20" s="1068"/>
      <c r="H20" s="1069">
        <f ca="1">SUMIF(B9:B19,"TOTAL",H9:H19)</f>
        <v>134</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IrSX5glQaU8IslZqlQx2Pb7SQNpWjUKVZh8F+9dBWpXpylj2zsGZGrV/JsgQOGq4U1Aa78GQkST3f/O+SPrRSg==" saltValue="YkfLFuMZjFpFVS/+3ZjnvA=="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4227lAd9zNJGzo6cNar7PU0pJT5L5W+O7sTrZnxHlVN5MWLg6dix1VQYvjGSAXLvM9cORyvNCGgW1ogCgkIisw==" saltValue="OeMWwxdyJ0E3SCPnusNYu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CADIZ</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53</v>
      </c>
      <c r="J10" s="180">
        <v>19</v>
      </c>
      <c r="K10" s="180">
        <v>13</v>
      </c>
      <c r="L10" s="180">
        <v>59</v>
      </c>
      <c r="M10" s="180">
        <v>7</v>
      </c>
      <c r="N10" s="180">
        <v>2</v>
      </c>
      <c r="O10" s="180">
        <v>0</v>
      </c>
      <c r="P10" s="180">
        <v>4</v>
      </c>
      <c r="Q10" s="180">
        <v>5</v>
      </c>
      <c r="R10" s="180">
        <v>35</v>
      </c>
      <c r="S10" s="180">
        <v>33</v>
      </c>
      <c r="T10" s="180">
        <v>43</v>
      </c>
      <c r="U10" s="180">
        <v>22</v>
      </c>
      <c r="V10" s="180">
        <v>58</v>
      </c>
      <c r="W10" s="180">
        <v>18</v>
      </c>
      <c r="X10" s="187">
        <v>5</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33</v>
      </c>
      <c r="AZ10" s="129">
        <f t="shared" si="0"/>
        <v>43</v>
      </c>
      <c r="BA10" s="129">
        <f t="shared" si="0"/>
        <v>22</v>
      </c>
      <c r="BB10" s="129">
        <f t="shared" si="0"/>
        <v>58</v>
      </c>
      <c r="BC10" s="125">
        <f t="shared" si="0"/>
        <v>18</v>
      </c>
      <c r="BD10" s="126">
        <f>IF(ISNUMBER(BA10/AZ10),BA10/AZ10," - ")</f>
        <v>0.51162790697674421</v>
      </c>
      <c r="BE10" s="127">
        <f>IF(ISNUMBER(BB10/BA10),BB10/BA10, " - ")</f>
        <v>2.6363636363636362</v>
      </c>
      <c r="BF10" s="127">
        <f>IF(ISNUMBER(BC10/BA10),BC10/BA10, " - ")</f>
        <v>0.81818181818181823</v>
      </c>
      <c r="BG10" s="195">
        <f>IF(ISNUMBER((AY10+AZ10)/BA10),(AY10+AZ10)/BA10," - ")</f>
        <v>3.4545454545454546</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1296</v>
      </c>
      <c r="J12" s="182">
        <v>1195</v>
      </c>
      <c r="K12" s="182">
        <v>1135</v>
      </c>
      <c r="L12" s="182">
        <v>1365</v>
      </c>
      <c r="M12" s="182">
        <v>225</v>
      </c>
      <c r="N12" s="182">
        <v>768</v>
      </c>
      <c r="O12" s="180">
        <v>451</v>
      </c>
      <c r="P12" s="182">
        <v>326</v>
      </c>
      <c r="Q12" s="182">
        <v>434</v>
      </c>
      <c r="R12" s="182">
        <v>4004</v>
      </c>
      <c r="S12" s="182">
        <v>1774</v>
      </c>
      <c r="T12" s="182">
        <v>2157</v>
      </c>
      <c r="U12" s="182">
        <v>1386</v>
      </c>
      <c r="V12" s="182">
        <v>2601</v>
      </c>
      <c r="W12" s="182">
        <v>482</v>
      </c>
      <c r="X12" s="188">
        <v>551</v>
      </c>
      <c r="Y12" s="190">
        <v>90</v>
      </c>
      <c r="Z12" s="180">
        <v>180</v>
      </c>
      <c r="AA12" s="180">
        <v>120</v>
      </c>
      <c r="AB12" s="180">
        <v>180</v>
      </c>
      <c r="AC12" s="182">
        <v>0</v>
      </c>
      <c r="AD12" s="182">
        <v>0</v>
      </c>
      <c r="AE12" s="182">
        <v>0</v>
      </c>
      <c r="AF12" s="188">
        <v>0</v>
      </c>
      <c r="AG12" s="201">
        <v>32</v>
      </c>
      <c r="AH12" s="182">
        <v>84</v>
      </c>
      <c r="AI12" s="182">
        <v>92</v>
      </c>
      <c r="AJ12" s="202">
        <v>34</v>
      </c>
      <c r="AK12" s="181">
        <v>0</v>
      </c>
      <c r="AL12" s="182">
        <v>0</v>
      </c>
      <c r="AM12" s="182">
        <v>0</v>
      </c>
      <c r="AN12" s="188">
        <v>0</v>
      </c>
      <c r="AO12" s="258">
        <v>6</v>
      </c>
      <c r="AP12" s="154">
        <v>6</v>
      </c>
      <c r="AQ12" s="154">
        <v>6</v>
      </c>
      <c r="AR12" s="153">
        <v>6</v>
      </c>
      <c r="AS12" s="339" t="s">
        <v>766</v>
      </c>
      <c r="AT12" s="202"/>
      <c r="AU12" s="201"/>
      <c r="AV12" s="202"/>
      <c r="AW12" s="201"/>
      <c r="AX12" s="202"/>
      <c r="AY12" s="126">
        <f t="shared" si="1"/>
        <v>1806</v>
      </c>
      <c r="AZ12" s="127">
        <f t="shared" si="1"/>
        <v>2241</v>
      </c>
      <c r="BA12" s="127">
        <f t="shared" si="1"/>
        <v>1478</v>
      </c>
      <c r="BB12" s="127">
        <f t="shared" si="1"/>
        <v>2635</v>
      </c>
      <c r="BC12" s="125">
        <f>IF(ISNUMBER(X12),X12," - ")</f>
        <v>551</v>
      </c>
      <c r="BD12" s="126">
        <f t="shared" si="2"/>
        <v>0.65952699687639449</v>
      </c>
      <c r="BE12" s="127">
        <f t="shared" si="3"/>
        <v>1.7828146143437078</v>
      </c>
      <c r="BF12" s="127">
        <f t="shared" si="4"/>
        <v>0.37280108254397837</v>
      </c>
      <c r="BG12" s="195">
        <f t="shared" si="5"/>
        <v>2.7381596752368065</v>
      </c>
      <c r="BH12" s="154">
        <v>6</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1349</v>
      </c>
      <c r="J13" s="183">
        <f t="shared" si="6"/>
        <v>1214</v>
      </c>
      <c r="K13" s="183">
        <f t="shared" si="6"/>
        <v>1148</v>
      </c>
      <c r="L13" s="183">
        <f t="shared" si="6"/>
        <v>1424</v>
      </c>
      <c r="M13" s="183">
        <f t="shared" si="6"/>
        <v>232</v>
      </c>
      <c r="N13" s="183">
        <f t="shared" si="6"/>
        <v>770</v>
      </c>
      <c r="O13" s="183">
        <f t="shared" si="6"/>
        <v>451</v>
      </c>
      <c r="P13" s="183">
        <f t="shared" si="6"/>
        <v>330</v>
      </c>
      <c r="Q13" s="183">
        <f t="shared" si="6"/>
        <v>439</v>
      </c>
      <c r="R13" s="183">
        <f t="shared" si="6"/>
        <v>4039</v>
      </c>
      <c r="S13" s="183">
        <f t="shared" si="6"/>
        <v>1807</v>
      </c>
      <c r="T13" s="183">
        <f t="shared" si="6"/>
        <v>2200</v>
      </c>
      <c r="U13" s="183">
        <f t="shared" si="6"/>
        <v>1408</v>
      </c>
      <c r="V13" s="183">
        <f t="shared" si="6"/>
        <v>2659</v>
      </c>
      <c r="W13" s="183">
        <f t="shared" si="6"/>
        <v>500</v>
      </c>
      <c r="X13" s="183">
        <f t="shared" si="6"/>
        <v>556</v>
      </c>
      <c r="Y13" s="183">
        <f t="shared" si="6"/>
        <v>90</v>
      </c>
      <c r="Z13" s="183">
        <f t="shared" si="6"/>
        <v>180</v>
      </c>
      <c r="AA13" s="183">
        <f t="shared" si="6"/>
        <v>120</v>
      </c>
      <c r="AB13" s="183">
        <f t="shared" si="6"/>
        <v>180</v>
      </c>
      <c r="AC13" s="183">
        <f t="shared" si="6"/>
        <v>0</v>
      </c>
      <c r="AD13" s="183">
        <f t="shared" si="6"/>
        <v>0</v>
      </c>
      <c r="AE13" s="183">
        <f t="shared" si="6"/>
        <v>0</v>
      </c>
      <c r="AF13" s="183">
        <f>SUBTOTAL(9,AF9:AF12)</f>
        <v>0</v>
      </c>
      <c r="AG13" s="183">
        <f t="shared" ref="AG13:AT13" si="7">SUBTOTAL(9,AG8:AG12)</f>
        <v>32</v>
      </c>
      <c r="AH13" s="183">
        <f t="shared" si="7"/>
        <v>84</v>
      </c>
      <c r="AI13" s="183">
        <f t="shared" si="7"/>
        <v>92</v>
      </c>
      <c r="AJ13" s="183">
        <f t="shared" si="7"/>
        <v>34</v>
      </c>
      <c r="AK13" s="183">
        <f t="shared" si="7"/>
        <v>0</v>
      </c>
      <c r="AL13" s="183">
        <f t="shared" si="7"/>
        <v>0</v>
      </c>
      <c r="AM13" s="183">
        <f t="shared" si="7"/>
        <v>0</v>
      </c>
      <c r="AN13" s="183">
        <f t="shared" si="7"/>
        <v>0</v>
      </c>
      <c r="AO13" s="183">
        <f t="shared" si="7"/>
        <v>7</v>
      </c>
      <c r="AP13" s="183">
        <f t="shared" si="7"/>
        <v>6</v>
      </c>
      <c r="AQ13" s="183">
        <f t="shared" si="7"/>
        <v>6</v>
      </c>
      <c r="AR13" s="183">
        <f t="shared" si="7"/>
        <v>6</v>
      </c>
      <c r="AS13" s="183">
        <f t="shared" si="7"/>
        <v>0</v>
      </c>
      <c r="AT13" s="183">
        <f t="shared" si="7"/>
        <v>0</v>
      </c>
      <c r="AU13" s="203"/>
      <c r="AV13" s="132"/>
      <c r="AW13" s="203"/>
      <c r="AX13" s="132"/>
      <c r="AY13" s="183">
        <f>SUBTOTAL(9,AY8:AY12)</f>
        <v>1839</v>
      </c>
      <c r="AZ13" s="183">
        <f>SUBTOTAL(9,AZ8:AZ12)</f>
        <v>2284</v>
      </c>
      <c r="BA13" s="183">
        <f>SUBTOTAL(9,BA8:BA12)</f>
        <v>1500</v>
      </c>
      <c r="BB13" s="183">
        <f>SUBTOTAL(9,BB8:BB12)</f>
        <v>2693</v>
      </c>
      <c r="BC13" s="183">
        <f>SUBTOTAL(9,BC8:BC12)</f>
        <v>569</v>
      </c>
      <c r="BD13" s="204">
        <f>IF(ISNUMBER(BA13/AZ13),BA13/AZ13," - ")</f>
        <v>0.65674255691768824</v>
      </c>
      <c r="BE13" s="205">
        <f>IF(ISNUMBER(BB13/BA13),BB13/BA13, " - ")</f>
        <v>1.7953333333333332</v>
      </c>
      <c r="BF13" s="205">
        <f>IF(ISNUMBER(BC13/BA13),BC13/BA13, " - ")</f>
        <v>0.37933333333333336</v>
      </c>
      <c r="BG13" s="206">
        <f>IF(ISNUMBER((AY13+AZ13)/BA13),(AY13+AZ13)/BA13," - ")</f>
        <v>2.7486666666666668</v>
      </c>
      <c r="BH13" s="139">
        <f>SUBTOTAL(9,BH8:BH12)</f>
        <v>7</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982</v>
      </c>
      <c r="J17" s="182">
        <v>1179</v>
      </c>
      <c r="K17" s="182">
        <v>1269</v>
      </c>
      <c r="L17" s="182">
        <v>893</v>
      </c>
      <c r="M17" s="182">
        <v>145</v>
      </c>
      <c r="N17" s="182">
        <v>885</v>
      </c>
      <c r="O17" s="180">
        <v>9</v>
      </c>
      <c r="P17" s="182">
        <v>54</v>
      </c>
      <c r="Q17" s="182">
        <v>50</v>
      </c>
      <c r="R17" s="182">
        <v>194</v>
      </c>
      <c r="S17" s="182">
        <v>782</v>
      </c>
      <c r="T17" s="182">
        <v>1492</v>
      </c>
      <c r="U17" s="182">
        <v>1558</v>
      </c>
      <c r="V17" s="182">
        <v>717</v>
      </c>
      <c r="W17" s="182">
        <v>217</v>
      </c>
      <c r="X17" s="188">
        <v>1012</v>
      </c>
      <c r="Y17" s="201">
        <v>0</v>
      </c>
      <c r="Z17" s="182">
        <v>0</v>
      </c>
      <c r="AA17" s="182">
        <v>0</v>
      </c>
      <c r="AB17" s="182">
        <v>0</v>
      </c>
      <c r="AC17" s="182">
        <v>0</v>
      </c>
      <c r="AD17" s="182">
        <v>21</v>
      </c>
      <c r="AE17" s="182">
        <v>19</v>
      </c>
      <c r="AF17" s="188">
        <v>2</v>
      </c>
      <c r="AG17" s="201">
        <v>0</v>
      </c>
      <c r="AH17" s="182">
        <v>0</v>
      </c>
      <c r="AI17" s="182">
        <v>0</v>
      </c>
      <c r="AJ17" s="202">
        <v>0</v>
      </c>
      <c r="AK17" s="181">
        <v>0</v>
      </c>
      <c r="AL17" s="182">
        <v>0</v>
      </c>
      <c r="AM17" s="182">
        <v>0</v>
      </c>
      <c r="AN17" s="188">
        <v>0</v>
      </c>
      <c r="AO17" s="258">
        <v>6</v>
      </c>
      <c r="AP17" s="154">
        <v>6</v>
      </c>
      <c r="AQ17" s="154">
        <v>6</v>
      </c>
      <c r="AR17" s="154">
        <v>6</v>
      </c>
      <c r="AS17" s="339" t="s">
        <v>486</v>
      </c>
      <c r="AT17" s="202"/>
      <c r="AU17" s="201"/>
      <c r="AV17" s="202"/>
      <c r="AW17" s="201"/>
      <c r="AX17" s="202"/>
      <c r="AY17" s="126">
        <f t="shared" si="9"/>
        <v>782</v>
      </c>
      <c r="AZ17" s="127">
        <f t="shared" si="9"/>
        <v>1492</v>
      </c>
      <c r="BA17" s="127">
        <f t="shared" si="9"/>
        <v>1558</v>
      </c>
      <c r="BB17" s="127">
        <f t="shared" si="9"/>
        <v>717</v>
      </c>
      <c r="BC17" s="125">
        <f>IF(ISNUMBER(W17),W17," - ")</f>
        <v>217</v>
      </c>
      <c r="BD17" s="126">
        <f t="shared" ref="BD17" si="16">IF(ISNUMBER(BA17/AZ17),BA17/AZ17," - ")</f>
        <v>1.0442359249329758</v>
      </c>
      <c r="BE17" s="127">
        <f t="shared" ref="BE17" si="17">IF(ISNUMBER(BB17/BA17),BB17/BA17, " - ")</f>
        <v>0.46020539152759948</v>
      </c>
      <c r="BF17" s="127">
        <f t="shared" ref="BF17" si="18">IF(ISNUMBER(BC17/BA17),BC17/BA17, " - ")</f>
        <v>0.13928112965340181</v>
      </c>
      <c r="BG17" s="195">
        <f t="shared" si="10"/>
        <v>1.4595635430038512</v>
      </c>
      <c r="BH17" s="154">
        <v>6</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56</v>
      </c>
      <c r="J18" s="182">
        <v>127</v>
      </c>
      <c r="K18" s="182">
        <v>115</v>
      </c>
      <c r="L18" s="182">
        <v>134</v>
      </c>
      <c r="M18" s="182">
        <v>28</v>
      </c>
      <c r="N18" s="182">
        <v>84</v>
      </c>
      <c r="O18" s="182">
        <v>0</v>
      </c>
      <c r="P18" s="182">
        <v>4</v>
      </c>
      <c r="Q18" s="182">
        <v>4</v>
      </c>
      <c r="R18" s="182">
        <v>13</v>
      </c>
      <c r="S18" s="182">
        <v>97</v>
      </c>
      <c r="T18" s="182">
        <v>103</v>
      </c>
      <c r="U18" s="182">
        <v>101</v>
      </c>
      <c r="V18" s="182">
        <v>99</v>
      </c>
      <c r="W18" s="182">
        <v>15</v>
      </c>
      <c r="X18" s="188">
        <v>55</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97</v>
      </c>
      <c r="AZ18" s="129">
        <f t="shared" si="19"/>
        <v>103</v>
      </c>
      <c r="BA18" s="129">
        <f t="shared" si="19"/>
        <v>101</v>
      </c>
      <c r="BB18" s="129">
        <f t="shared" si="19"/>
        <v>99</v>
      </c>
      <c r="BC18" s="125">
        <f>IF(ISNUMBER(W18),W18," - ")</f>
        <v>15</v>
      </c>
      <c r="BD18" s="126">
        <f>IF(ISNUMBER(BA18/AZ18),BA18/AZ18," - ")</f>
        <v>0.98058252427184467</v>
      </c>
      <c r="BE18" s="127">
        <f>IF(ISNUMBER(BB18/BA18),BB18/BA18, " - ")</f>
        <v>0.98019801980198018</v>
      </c>
      <c r="BF18" s="127">
        <f>IF(ISNUMBER(BC18/BA18),BC18/BA18, " - ")</f>
        <v>0.14851485148514851</v>
      </c>
      <c r="BG18" s="195">
        <f>IF(ISNUMBER((AY18+AZ18)/BA18),(AY18+AZ18)/BA18," - ")</f>
        <v>1.9801980198019802</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1038</v>
      </c>
      <c r="J19" s="183">
        <f t="shared" si="20"/>
        <v>1306</v>
      </c>
      <c r="K19" s="183">
        <f t="shared" si="20"/>
        <v>1384</v>
      </c>
      <c r="L19" s="183">
        <f t="shared" si="20"/>
        <v>1027</v>
      </c>
      <c r="M19" s="183">
        <f t="shared" si="20"/>
        <v>173</v>
      </c>
      <c r="N19" s="183">
        <f t="shared" si="20"/>
        <v>969</v>
      </c>
      <c r="O19" s="183">
        <f t="shared" si="20"/>
        <v>9</v>
      </c>
      <c r="P19" s="183">
        <f t="shared" si="20"/>
        <v>58</v>
      </c>
      <c r="Q19" s="183">
        <f t="shared" si="20"/>
        <v>54</v>
      </c>
      <c r="R19" s="183">
        <f t="shared" si="20"/>
        <v>207</v>
      </c>
      <c r="S19" s="183">
        <f t="shared" si="20"/>
        <v>879</v>
      </c>
      <c r="T19" s="183">
        <f t="shared" si="20"/>
        <v>1595</v>
      </c>
      <c r="U19" s="183">
        <f t="shared" si="20"/>
        <v>1659</v>
      </c>
      <c r="V19" s="183">
        <f t="shared" si="20"/>
        <v>816</v>
      </c>
      <c r="W19" s="183">
        <f t="shared" si="20"/>
        <v>232</v>
      </c>
      <c r="X19" s="183">
        <f t="shared" si="20"/>
        <v>1067</v>
      </c>
      <c r="Y19" s="183">
        <f t="shared" si="20"/>
        <v>0</v>
      </c>
      <c r="Z19" s="183">
        <f t="shared" si="20"/>
        <v>0</v>
      </c>
      <c r="AA19" s="183">
        <f t="shared" si="20"/>
        <v>0</v>
      </c>
      <c r="AB19" s="183">
        <f t="shared" si="20"/>
        <v>0</v>
      </c>
      <c r="AC19" s="183">
        <f t="shared" si="20"/>
        <v>0</v>
      </c>
      <c r="AD19" s="183">
        <f t="shared" si="20"/>
        <v>21</v>
      </c>
      <c r="AE19" s="183">
        <f t="shared" si="20"/>
        <v>19</v>
      </c>
      <c r="AF19" s="183">
        <f t="shared" si="20"/>
        <v>2</v>
      </c>
      <c r="AG19" s="183">
        <f t="shared" si="20"/>
        <v>0</v>
      </c>
      <c r="AH19" s="183">
        <f t="shared" si="20"/>
        <v>0</v>
      </c>
      <c r="AI19" s="183">
        <f t="shared" si="20"/>
        <v>0</v>
      </c>
      <c r="AJ19" s="183">
        <f t="shared" si="20"/>
        <v>0</v>
      </c>
      <c r="AK19" s="183">
        <f t="shared" si="20"/>
        <v>0</v>
      </c>
      <c r="AL19" s="183">
        <f t="shared" si="20"/>
        <v>0</v>
      </c>
      <c r="AM19" s="183">
        <f t="shared" si="20"/>
        <v>0</v>
      </c>
      <c r="AN19" s="183">
        <f t="shared" si="20"/>
        <v>0</v>
      </c>
      <c r="AO19" s="183">
        <f t="shared" si="20"/>
        <v>7</v>
      </c>
      <c r="AP19" s="183">
        <f t="shared" si="20"/>
        <v>6</v>
      </c>
      <c r="AQ19" s="183">
        <f t="shared" si="20"/>
        <v>6</v>
      </c>
      <c r="AR19" s="183">
        <f t="shared" si="20"/>
        <v>6</v>
      </c>
      <c r="AS19" s="183">
        <f t="shared" si="20"/>
        <v>0</v>
      </c>
      <c r="AT19" s="183">
        <f t="shared" si="20"/>
        <v>0</v>
      </c>
      <c r="AU19" s="203"/>
      <c r="AV19" s="132"/>
      <c r="AW19" s="203"/>
      <c r="AX19" s="132"/>
      <c r="AY19" s="183">
        <f>SUBTOTAL(9,AY14:AY18)</f>
        <v>879</v>
      </c>
      <c r="AZ19" s="183">
        <f>SUBTOTAL(9,AZ14:AZ18)</f>
        <v>1595</v>
      </c>
      <c r="BA19" s="183">
        <f>SUBTOTAL(9,BA14:BA18)</f>
        <v>1659</v>
      </c>
      <c r="BB19" s="183">
        <f>SUBTOTAL(9,BB14:BB18)</f>
        <v>816</v>
      </c>
      <c r="BC19" s="183">
        <f>SUBTOTAL(9,BC14:BC18)</f>
        <v>232</v>
      </c>
      <c r="BD19" s="204">
        <f>IF(ISNUMBER(BA19/AZ19),BA19/AZ19," - ")</f>
        <v>1.0401253918495297</v>
      </c>
      <c r="BE19" s="205">
        <f>IF(ISNUMBER(BB19/BA19),BB19/BA19, " - ")</f>
        <v>0.49186256781193488</v>
      </c>
      <c r="BF19" s="205">
        <f>IF(ISNUMBER(BC19/BA19),BC19/BA19, " - ")</f>
        <v>0.13984327908378541</v>
      </c>
      <c r="BG19" s="206">
        <f>IF(ISNUMBER((AY19+AZ19)/BA19),(AY19+AZ19)/BA19," - ")</f>
        <v>1.4912597950572635</v>
      </c>
      <c r="BH19" s="183">
        <f>SUBTOTAL(9,BH14:BH18)</f>
        <v>7</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2387</v>
      </c>
      <c r="J20" s="134">
        <f t="shared" si="23"/>
        <v>2520</v>
      </c>
      <c r="K20" s="134">
        <f t="shared" si="23"/>
        <v>2532</v>
      </c>
      <c r="L20" s="134">
        <f t="shared" si="23"/>
        <v>2451</v>
      </c>
      <c r="M20" s="134">
        <f t="shared" si="23"/>
        <v>405</v>
      </c>
      <c r="N20" s="134">
        <f t="shared" si="23"/>
        <v>1739</v>
      </c>
      <c r="O20" s="134">
        <f t="shared" si="23"/>
        <v>460</v>
      </c>
      <c r="P20" s="134">
        <f t="shared" si="23"/>
        <v>388</v>
      </c>
      <c r="Q20" s="134">
        <f t="shared" si="23"/>
        <v>493</v>
      </c>
      <c r="R20" s="134">
        <f t="shared" si="23"/>
        <v>4246</v>
      </c>
      <c r="S20" s="134">
        <f t="shared" si="23"/>
        <v>2686</v>
      </c>
      <c r="T20" s="134">
        <f t="shared" si="23"/>
        <v>3795</v>
      </c>
      <c r="U20" s="134">
        <f t="shared" si="23"/>
        <v>3067</v>
      </c>
      <c r="V20" s="134">
        <f t="shared" si="23"/>
        <v>3475</v>
      </c>
      <c r="W20" s="134">
        <f t="shared" si="23"/>
        <v>732</v>
      </c>
      <c r="X20" s="134">
        <f t="shared" si="23"/>
        <v>1623</v>
      </c>
      <c r="Y20" s="134">
        <f t="shared" si="23"/>
        <v>90</v>
      </c>
      <c r="Z20" s="134">
        <f t="shared" si="23"/>
        <v>180</v>
      </c>
      <c r="AA20" s="134">
        <f t="shared" si="23"/>
        <v>120</v>
      </c>
      <c r="AB20" s="134">
        <f t="shared" si="23"/>
        <v>180</v>
      </c>
      <c r="AC20" s="134">
        <f t="shared" si="23"/>
        <v>0</v>
      </c>
      <c r="AD20" s="134">
        <f t="shared" si="23"/>
        <v>21</v>
      </c>
      <c r="AE20" s="134">
        <f t="shared" si="23"/>
        <v>19</v>
      </c>
      <c r="AF20" s="134">
        <f t="shared" si="23"/>
        <v>2</v>
      </c>
      <c r="AG20" s="134">
        <f t="shared" si="23"/>
        <v>32</v>
      </c>
      <c r="AH20" s="134">
        <f t="shared" si="23"/>
        <v>84</v>
      </c>
      <c r="AI20" s="134">
        <f t="shared" si="23"/>
        <v>92</v>
      </c>
      <c r="AJ20" s="134">
        <f t="shared" si="23"/>
        <v>34</v>
      </c>
      <c r="AK20" s="134">
        <f t="shared" si="23"/>
        <v>0</v>
      </c>
      <c r="AL20" s="134">
        <f t="shared" si="23"/>
        <v>0</v>
      </c>
      <c r="AM20" s="134">
        <f t="shared" si="23"/>
        <v>0</v>
      </c>
      <c r="AN20" s="209">
        <f t="shared" si="23"/>
        <v>0</v>
      </c>
      <c r="AO20" s="210">
        <v>7</v>
      </c>
      <c r="AP20" s="210">
        <v>6</v>
      </c>
      <c r="AQ20" s="210">
        <v>6</v>
      </c>
      <c r="AR20" s="210">
        <v>6</v>
      </c>
      <c r="AS20" s="152">
        <f t="shared" si="23"/>
        <v>0</v>
      </c>
      <c r="AT20" s="152">
        <f t="shared" si="23"/>
        <v>0</v>
      </c>
      <c r="AU20" s="210"/>
      <c r="AV20" s="211"/>
      <c r="AW20" s="210"/>
      <c r="AX20" s="211"/>
      <c r="AY20" s="133">
        <f>SUBTOTAL(9,AY9:AY19)</f>
        <v>2718</v>
      </c>
      <c r="AZ20" s="134">
        <f>SUBTOTAL(9,AZ9:AZ19)</f>
        <v>3879</v>
      </c>
      <c r="BA20" s="134">
        <f>SUBTOTAL(9,BA9:BA19)</f>
        <v>3159</v>
      </c>
      <c r="BB20" s="134">
        <f>SUBTOTAL(9,BB9:BB19)</f>
        <v>3509</v>
      </c>
      <c r="BC20" s="135">
        <f>SUBTOTAL(9,BC9:BC19)</f>
        <v>801</v>
      </c>
      <c r="BD20" s="212">
        <f>IF(ISNUMBER(BA20/AZ20),BA20/AZ20," - ")</f>
        <v>0.81438515081206497</v>
      </c>
      <c r="BE20" s="209">
        <f>IF(ISNUMBER(BB20/BA20),BB20/BA20, " - ")</f>
        <v>1.1107945552389997</v>
      </c>
      <c r="BF20" s="209">
        <f>IF(ISNUMBER(BC20/BA20),BC20/BA20, " - ")</f>
        <v>0.25356125356125359</v>
      </c>
      <c r="BG20" s="135">
        <f>IF(ISNUMBER((AY20+AZ20)/BA20),(AY20+AZ20)/BA20," - ")</f>
        <v>2.0883190883190883</v>
      </c>
      <c r="BH20" s="210">
        <f>SUBTOTAL(9,BH9:BH19)</f>
        <v>14</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pGZkHCePfDrYN1rK4y8ksVLFPncd3rbQi71wcT0f/y/5q9yhGSjXiVWlPTZrn7IBGYLnVC92SX00tZnW31V7NA==" saltValue="770gCQfJ2s2trKS0Que81A=="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CADIZ</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GR5X0srnFVyaJlhw1N0Nu3aTaELUxulehnJYXb7MLOP38r1xYsiyzl+Pmd1g0GfhKg0O/11wtbF0Ohxp0egpAg==" saltValue="gWABdFOu4ssp4dujh6RMtA=="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ANDALUCIA</v>
      </c>
    </row>
    <row r="2" spans="1:78" ht="16.5" customHeight="1">
      <c r="C2" s="1263" t="str">
        <f>Criterios!A10 &amp;"  "&amp;Criterios!B10 &amp; "  " &amp; IF(NOT(ISBLANK(Criterios!A11)),Criterios!A11 &amp;"  "&amp;Criterios!B11,"")</f>
        <v>Provincias  CADIZ  Resumenes por Partidos Judiciales  CEUTA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53</v>
      </c>
      <c r="G10" s="1246">
        <f>IF(ISNUMBER(Datos!I10),Datos!I10," - ")</f>
        <v>53</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4</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13</v>
      </c>
      <c r="AC10" s="1215">
        <f>IF(ISNUMBER(Datos!Q10),Datos!Q10," - ")</f>
        <v>5</v>
      </c>
      <c r="AD10" s="1247"/>
      <c r="AE10" s="1262"/>
      <c r="AF10" s="1245">
        <f>IF(ISNUMBER(Datos!L10),Datos!L10,"-")</f>
        <v>59</v>
      </c>
      <c r="AG10" s="1247"/>
      <c r="AH10" s="1247"/>
      <c r="AI10" s="1247"/>
      <c r="AJ10" s="1247"/>
      <c r="AK10" s="1247"/>
      <c r="AL10" s="1258"/>
      <c r="AM10" s="1248">
        <f>IF(ISNUMBER(Datos!R10),Datos!R10," - ")</f>
        <v>35</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7</v>
      </c>
      <c r="BD10" s="1218">
        <f>IF(ISNUMBER(Datos!N10),Datos!N10," - ")</f>
        <v>2</v>
      </c>
      <c r="BE10" s="1218" t="str">
        <f>IF(ISNUMBER(Datos!BW10),Datos!BW10," - ")</f>
        <v xml:space="preserve"> - </v>
      </c>
      <c r="BF10" s="1217" t="str">
        <f>IF(ISNUMBER(Datos!BX10),Datos!BX10," - ")</f>
        <v xml:space="preserve"> - </v>
      </c>
      <c r="BG10" s="1223">
        <f>IF(ISNUMBER(Datos!K10/Datos!J10),Datos!K10/Datos!J10," - ")</f>
        <v>0.68421052631578949</v>
      </c>
      <c r="BH10" s="1226">
        <f>IF(ISNUMBER(((Datos!L10/Datos!K10)*11)/factor_trimestre),((Datos!L10/Datos!K10)*11)/factor_trimestre," - ")</f>
        <v>13.615384615384615</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-2.7777777777777776E-2</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6</v>
      </c>
      <c r="B12" s="1280" t="s">
        <v>247</v>
      </c>
      <c r="C12" s="1193" t="str">
        <f>Datos!A12</f>
        <v xml:space="preserve">Sección Civil y de Inst. TI                      </v>
      </c>
      <c r="D12" s="1281"/>
      <c r="E12" s="1226">
        <f>IF(ISNUMBER(Datos!AQ12),Datos!AQ12," - ")</f>
        <v>6</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180</v>
      </c>
      <c r="O12" s="1247"/>
      <c r="P12" s="1247"/>
      <c r="Q12" s="1215">
        <f>IF(ISNUMBER(Datos!P12),Datos!P12,0)</f>
        <v>326</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434</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180</v>
      </c>
      <c r="AI12" s="1247" t="str">
        <f>IF(ISNUMBER(Datos!CD12),Datos!CD12,"-")</f>
        <v>-</v>
      </c>
      <c r="AJ12" s="1247" t="str">
        <f>IF(ISNUMBER(Datos!EN12),Datos!EN12," - ")</f>
        <v xml:space="preserve"> - </v>
      </c>
      <c r="AK12" s="1247"/>
      <c r="AL12" s="1258"/>
      <c r="AM12" s="1248">
        <f>IF(ISNUMBER(Datos!R12),Datos!R12," - ")</f>
        <v>4004</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225</v>
      </c>
      <c r="BD12" s="1218">
        <f>IF(ISNUMBER(Datos!N12),Datos!N12," - ")</f>
        <v>768</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0.91272727272727272</v>
      </c>
      <c r="BH12" s="1226">
        <f>IF(ISNUMBER(((IF(J_V="SI",Datos!L12/Datos!K12,(Datos!L12+Datos!AB12)/(Datos!K12+Datos!AA12)))*11)/factor_trimestre),((IF(J_V="SI",Datos!L12/Datos!K12,(Datos!L12+Datos!AB12)/(Datos!K12+Datos!AA12)))*11)/factor_trimestre," - ")</f>
        <v>3.693227091633466</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-2.6264591439688716E-2</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6</v>
      </c>
      <c r="F13" s="1391">
        <f t="shared" si="0"/>
        <v>53</v>
      </c>
      <c r="G13" s="1391">
        <f t="shared" si="0"/>
        <v>53</v>
      </c>
      <c r="H13" s="1392">
        <f t="shared" si="0"/>
        <v>0</v>
      </c>
      <c r="I13" s="1391">
        <f t="shared" si="0"/>
        <v>0</v>
      </c>
      <c r="J13" s="1383">
        <f t="shared" si="0"/>
        <v>0</v>
      </c>
      <c r="K13" s="1383">
        <f t="shared" si="0"/>
        <v>0</v>
      </c>
      <c r="L13" s="1392">
        <f t="shared" si="0"/>
        <v>0</v>
      </c>
      <c r="M13" s="1392">
        <f t="shared" si="0"/>
        <v>0</v>
      </c>
      <c r="N13" s="1392">
        <f t="shared" si="0"/>
        <v>180</v>
      </c>
      <c r="O13" s="1393">
        <f t="shared" si="0"/>
        <v>0</v>
      </c>
      <c r="P13" s="1393">
        <f t="shared" si="0"/>
        <v>0</v>
      </c>
      <c r="Q13" s="1392">
        <f t="shared" si="0"/>
        <v>330</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13</v>
      </c>
      <c r="AC13" s="1392">
        <f t="shared" si="1"/>
        <v>439</v>
      </c>
      <c r="AD13" s="1392">
        <f t="shared" si="1"/>
        <v>0</v>
      </c>
      <c r="AE13" s="1392">
        <f t="shared" si="1"/>
        <v>0</v>
      </c>
      <c r="AF13" s="1392">
        <f t="shared" si="1"/>
        <v>59</v>
      </c>
      <c r="AG13" s="1392">
        <f t="shared" si="1"/>
        <v>0</v>
      </c>
      <c r="AH13" s="1392">
        <f t="shared" si="1"/>
        <v>180</v>
      </c>
      <c r="AI13" s="1392">
        <f t="shared" si="1"/>
        <v>0</v>
      </c>
      <c r="AJ13" s="1392">
        <f t="shared" si="1"/>
        <v>0</v>
      </c>
      <c r="AK13" s="1392">
        <f t="shared" si="1"/>
        <v>0</v>
      </c>
      <c r="AL13" s="1392">
        <f t="shared" si="1"/>
        <v>0</v>
      </c>
      <c r="AM13" s="1392">
        <f t="shared" si="1"/>
        <v>4039</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232</v>
      </c>
      <c r="BD13" s="1392">
        <f t="shared" si="1"/>
        <v>770</v>
      </c>
      <c r="BE13" s="1392">
        <f t="shared" si="1"/>
        <v>0</v>
      </c>
      <c r="BF13" s="1392">
        <f t="shared" si="1"/>
        <v>0</v>
      </c>
      <c r="BG13" s="1392">
        <f>IF(ISNUMBER(Datos!K13/Datos!J13),Datos!K13/Datos!J13," - ")</f>
        <v>0.94563426688632624</v>
      </c>
      <c r="BH13" s="1396">
        <f>IF(ISNUMBER(((Datos!L13/Datos!K13)*11)/factor_trimestre),((Datos!L13/Datos!K13)*11)/factor_trimestre," - ")</f>
        <v>3.7212543554006974</v>
      </c>
      <c r="BI13" s="1392">
        <f>IF(ISNUMBER('Resol  Asuntos'!D13/NºAsuntos!G13),'Resol  Asuntos'!D13/NºAsuntos!G13," - ")</f>
        <v>0.18296529968454259</v>
      </c>
      <c r="BJ13" s="1392" t="str">
        <f>IF(ISNUMBER(Datos!CI13/Datos!CJ13),Datos!CI13/Datos!CJ13," - ")</f>
        <v xml:space="preserve"> - </v>
      </c>
      <c r="BK13" s="1392">
        <f>SUBTOTAL(9,BK8:BK12)</f>
        <v>0</v>
      </c>
      <c r="BL13" s="1392">
        <f>IF(ISNUMBER((I13-AB13+L13)/(F13)),(I13-AB13+L13)/(F13)," - ")</f>
        <v>-0.24528301886792453</v>
      </c>
      <c r="BM13" s="1397">
        <f>SUBTOTAL(9,BM9:BM12)</f>
        <v>-5.4042369217466496E-2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6</v>
      </c>
      <c r="B17" s="1331" t="s">
        <v>397</v>
      </c>
      <c r="C17" s="1337" t="str">
        <f>Datos!A17</f>
        <v xml:space="preserve">Sección Civil y de Inst. TI                      </v>
      </c>
      <c r="D17" s="1338"/>
      <c r="E17" s="1435">
        <f>IF(ISNUMBER(Datos!AQ17),Datos!AQ17," - ")</f>
        <v>6</v>
      </c>
      <c r="F17" s="1332">
        <f>IF(ISNUMBER(AF17+AB17-Datos!J17-L17),AF17+AB17-Datos!J17-L17," - ")</f>
        <v>983</v>
      </c>
      <c r="G17" s="1335">
        <f>IF(ISNUMBER(IF(D_I="SI",Datos!I17,Datos!I17+Datos!AC17)),IF(D_I="SI",Datos!I17,Datos!I17+Datos!AC17)," - ")</f>
        <v>982</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54</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1269</v>
      </c>
      <c r="AC17" s="1215">
        <f>IF(ISNUMBER(Datos!Q17),Datos!Q17," - ")</f>
        <v>50</v>
      </c>
      <c r="AD17" s="1247"/>
      <c r="AE17" s="1262"/>
      <c r="AF17" s="1333">
        <f>IF(ISNUMBER(IF(D_I="SI",Datos!L17,Datos!L17+Datos!AF17)),IF(D_I="SI",Datos!L17,Datos!L17+Datos!AF17)," - ")</f>
        <v>893</v>
      </c>
      <c r="AG17" s="1247"/>
      <c r="AH17" s="1247"/>
      <c r="AI17" s="1247"/>
      <c r="AJ17" s="1247"/>
      <c r="AK17" s="1247"/>
      <c r="AL17" s="1258"/>
      <c r="AM17" s="1248">
        <f>IF(ISNUMBER(Datos!R17),Datos!R17," - ")</f>
        <v>194</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145</v>
      </c>
      <c r="BD17" s="1218">
        <f>IF(ISNUMBER(Datos!N17),Datos!N17," - ")</f>
        <v>885</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1.0763358778625953</v>
      </c>
      <c r="BH17" s="1226">
        <f>IF(ISNUMBER(((IF(D_I="SI",Datos!L17/Datos!K17,(Datos!L17+Datos!AF17)/(Datos!K17+Datos!AE17)))*11)/factor_trimestre),((IF(D_I="SI",Datos!L17/Datos!K17,(Datos!L17+Datos!AF17)/(Datos!K17+Datos!AE17)))*11)/factor_trimestre," - ")</f>
        <v>2.1111111111111112</v>
      </c>
      <c r="BI17" s="1223">
        <f>IF(ISNUMBER('Resol  Asuntos'!D17/NºAsuntos!G17),'Resol  Asuntos'!D17/NºAsuntos!G17," - ")</f>
        <v>0.11426319936958235</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56</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4</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115</v>
      </c>
      <c r="AC18" s="1215">
        <f>IF(ISNUMBER(Datos!Q18),Datos!Q18," - ")</f>
        <v>4</v>
      </c>
      <c r="AD18" s="1247"/>
      <c r="AE18" s="1262"/>
      <c r="AF18" s="1245">
        <f>IF(ISNUMBER(Datos!L18),Datos!L18,"-")</f>
        <v>134</v>
      </c>
      <c r="AG18" s="1247"/>
      <c r="AH18" s="1247"/>
      <c r="AI18" s="1247"/>
      <c r="AJ18" s="1247"/>
      <c r="AK18" s="1247"/>
      <c r="AL18" s="1258"/>
      <c r="AM18" s="1248">
        <f>IF(ISNUMBER(Datos!R18),Datos!R18," - ")</f>
        <v>13</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28</v>
      </c>
      <c r="BD18" s="1218">
        <f>IF(ISNUMBER(Datos!N18),Datos!N18," - ")</f>
        <v>84</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0.90551181102362199</v>
      </c>
      <c r="BH18" s="1226">
        <f>IF(ISNUMBER(((IF(D_I="SI",Datos!L18/Datos!K18,(Datos!L18+Datos!AF18)/(Datos!K18+Datos!AE18)))*11)/factor_trimestre),((IF(D_I="SI",Datos!L18/Datos!K18,(Datos!L18+Datos!AF18)/(Datos!K18+Datos!AE18)))*11)/factor_trimestre," - ")</f>
        <v>3.4956521739130437</v>
      </c>
      <c r="BI18" s="1223">
        <f>IF(ISNUMBER('Resol  Asuntos'!D18/NºAsuntos!G18),'Resol  Asuntos'!D18/NºAsuntos!G18," - ")</f>
        <v>0.24347826086956523</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6</v>
      </c>
      <c r="F19" s="1391">
        <f>SUBTOTAL(9,F15:F18)</f>
        <v>983</v>
      </c>
      <c r="G19" s="1391">
        <f>SUBTOTAL(9,G15:G18)</f>
        <v>1038</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58</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1384</v>
      </c>
      <c r="AC19" s="1392">
        <f t="shared" si="4"/>
        <v>54</v>
      </c>
      <c r="AD19" s="1392">
        <f t="shared" si="4"/>
        <v>0</v>
      </c>
      <c r="AE19" s="1392">
        <f t="shared" si="4"/>
        <v>0</v>
      </c>
      <c r="AF19" s="1392">
        <f t="shared" si="4"/>
        <v>1027</v>
      </c>
      <c r="AG19" s="1392">
        <f t="shared" si="4"/>
        <v>0</v>
      </c>
      <c r="AH19" s="1392">
        <f t="shared" si="4"/>
        <v>0</v>
      </c>
      <c r="AI19" s="1392">
        <f t="shared" si="4"/>
        <v>0</v>
      </c>
      <c r="AJ19" s="1392">
        <f t="shared" si="4"/>
        <v>0</v>
      </c>
      <c r="AK19" s="1392">
        <f t="shared" si="4"/>
        <v>0</v>
      </c>
      <c r="AL19" s="1392">
        <f t="shared" si="4"/>
        <v>0</v>
      </c>
      <c r="AM19" s="1392">
        <f t="shared" si="4"/>
        <v>207</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173</v>
      </c>
      <c r="BD19" s="1392">
        <f t="shared" si="4"/>
        <v>969</v>
      </c>
      <c r="BE19" s="1392">
        <f t="shared" si="4"/>
        <v>0</v>
      </c>
      <c r="BF19" s="1392">
        <f t="shared" si="4"/>
        <v>0</v>
      </c>
      <c r="BG19" s="1392">
        <f>IF(ISNUMBER(Datos!K19/Datos!J19),Datos!K19/Datos!J19," - ")</f>
        <v>1.0597243491577335</v>
      </c>
      <c r="BH19" s="1396">
        <f>IF(ISNUMBER(((Datos!L19/Datos!K19)*11)/factor_trimestre),((Datos!L19/Datos!K19)*11)/factor_trimestre," - ")</f>
        <v>2.2261560693641615</v>
      </c>
      <c r="BI19" s="1392">
        <f>SUBTOTAL(9,BI15:BI18)</f>
        <v>0.35774146023914755</v>
      </c>
      <c r="BJ19" s="1392">
        <f>SUBTOTAL(9,BJ15:BJ18)</f>
        <v>0</v>
      </c>
      <c r="BK19" s="1392">
        <f>SUBTOTAL(9,BK15:BK18)</f>
        <v>0</v>
      </c>
      <c r="BL19" s="1392">
        <f>IF(ISNUMBER((I19-AB19+L19)/(F19)),(I19-AB19+L19)/(F19)," - ")</f>
        <v>-1.4079348931841302</v>
      </c>
      <c r="BM19" s="1398">
        <f>IF(ISNUMBER((Datos!P19-Datos!Q19)/(Datos!R19-Datos!P19+Datos!Q19)),(Datos!P19-Datos!Q19)/(Datos!R19-Datos!P19+Datos!Q19)," - ")</f>
        <v>1.9704433497536946E-2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12</v>
      </c>
      <c r="F20" s="1367">
        <f t="shared" si="6"/>
        <v>1036</v>
      </c>
      <c r="G20" s="1367">
        <f t="shared" si="6"/>
        <v>1091</v>
      </c>
      <c r="H20" s="1369">
        <f t="shared" si="6"/>
        <v>0</v>
      </c>
      <c r="I20" s="1367">
        <f t="shared" si="6"/>
        <v>0</v>
      </c>
      <c r="J20" s="1369">
        <f t="shared" si="6"/>
        <v>0</v>
      </c>
      <c r="K20" s="1369">
        <f t="shared" si="6"/>
        <v>0</v>
      </c>
      <c r="L20" s="1386">
        <f t="shared" si="6"/>
        <v>0</v>
      </c>
      <c r="M20" s="1386">
        <f t="shared" si="6"/>
        <v>0</v>
      </c>
      <c r="N20" s="1386">
        <f t="shared" si="6"/>
        <v>180</v>
      </c>
      <c r="O20" s="1386">
        <f t="shared" si="6"/>
        <v>0</v>
      </c>
      <c r="P20" s="1386">
        <f t="shared" si="6"/>
        <v>0</v>
      </c>
      <c r="Q20" s="1369">
        <f t="shared" si="6"/>
        <v>388</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1397</v>
      </c>
      <c r="AC20" s="1368">
        <f t="shared" si="7"/>
        <v>493</v>
      </c>
      <c r="AD20" s="1368">
        <f t="shared" si="7"/>
        <v>0</v>
      </c>
      <c r="AE20" s="1368">
        <f t="shared" si="7"/>
        <v>0</v>
      </c>
      <c r="AF20" s="1371">
        <f t="shared" si="7"/>
        <v>1086</v>
      </c>
      <c r="AG20" s="1371">
        <f t="shared" si="7"/>
        <v>0</v>
      </c>
      <c r="AH20" s="1371">
        <f t="shared" si="7"/>
        <v>180</v>
      </c>
      <c r="AI20" s="1371">
        <f t="shared" si="7"/>
        <v>0</v>
      </c>
      <c r="AJ20" s="1368">
        <f t="shared" si="7"/>
        <v>0</v>
      </c>
      <c r="AK20" s="1371">
        <f t="shared" si="7"/>
        <v>0</v>
      </c>
      <c r="AL20" s="1371">
        <f t="shared" si="7"/>
        <v>0</v>
      </c>
      <c r="AM20" s="1371">
        <f t="shared" si="7"/>
        <v>4246</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405</v>
      </c>
      <c r="BD20" s="1367">
        <f t="shared" si="7"/>
        <v>1739</v>
      </c>
      <c r="BE20" s="1367">
        <f t="shared" si="7"/>
        <v>0</v>
      </c>
      <c r="BF20" s="1373">
        <f t="shared" si="7"/>
        <v>0</v>
      </c>
      <c r="BG20" s="1404">
        <f>IF(ISNUMBER(Datos!K20/Datos!J20),Datos!K20/Datos!J20," - ")</f>
        <v>1.0047619047619047</v>
      </c>
      <c r="BH20" s="1404">
        <f>IF(ISNUMBER(((Datos!L20/Datos!K20)*11)/factor_trimestre),((Datos!L20/Datos!K20)*11)/factor_trimestre," - ")</f>
        <v>2.9040284360189577</v>
      </c>
      <c r="BI20" s="1362">
        <f>IF(ISNUMBER(Datos!J20/Datos!I20),Datos!J20/Datos!I20," - ")</f>
        <v>1.0557184750733137</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-1.3484555984555984</v>
      </c>
      <c r="BM20" s="1387">
        <f>IF(ISNUMBER((Datos!P20-Datos!Q20+R20)/(Datos!R20-Datos!P20+Datos!Q20-R20)),(Datos!P20-Datos!Q20+R20)/(Datos!R20-Datos!P20+Datos!Q20-R20)," - ")</f>
        <v>-2.4132383360147093E-2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436.4</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3.0983866769659336</v>
      </c>
      <c r="F22" s="1298">
        <f>IF(ISNUMBER(STDEV(F8:F19)),STDEV(F8:F19),"-")</f>
        <v>536.93575034635194</v>
      </c>
      <c r="G22" s="1299">
        <f>IF(ISNUMBER(STDEV(G8:G19)),STDEV(G8:G19),"-")</f>
        <v>523.99837786008459</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703.22343533190076</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96.835943739915095</v>
      </c>
      <c r="BD22" s="1298"/>
      <c r="BE22" s="1298">
        <f>IF(ISNUMBER(STDEV(BE8:BE19)),STDEV(BE8:BE19),"-")</f>
        <v>0</v>
      </c>
      <c r="BF22" s="1303">
        <f>IF(ISNUMBER(STDEV(BF8:BF19)),STDEV(BF8:BF19),"-")</f>
        <v>0</v>
      </c>
      <c r="BG22" s="1360">
        <f>IF(ISNUMBER(STDEV(BG8:BG19)),STDEV(BG8:BG19),"-")</f>
        <v>0.1412760757026747</v>
      </c>
      <c r="BH22" s="1361">
        <f>IF(ISNUMBER(STDEV(BH8:BH19)),STDEV(BH8:BH19),"-")</f>
        <v>4.373902299769564</v>
      </c>
      <c r="BI22" s="1224">
        <f>IF(ISNUMBER(STDEV(BI8:BI19)),STDEV(BI8:BI19),"-")</f>
        <v>0.10326453800876384</v>
      </c>
      <c r="BJ22" s="1219" t="str">
        <f>IF(ISNUMBER(BL22/BM22),BL22/BM22," - ")</f>
        <v xml:space="preserve"> - </v>
      </c>
      <c r="BK22" s="1320"/>
      <c r="BL22" s="1306">
        <f>IF(ISNUMBER(STDEV(BL8:BL19)),STDEV(BL8:BL19),"-")</f>
        <v>0.82211902448823859</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bAL0CctEpEfsz7H+U8f5yOCYBOvfkWDjWDkxKb2swlO4NSTeordU6m386+YN8Z2EB06mfC8BvkCaC/Y5Ipp0cg==" saltValue="Rnks01eYPNfQncHnDmi2dQ=="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ANDALUCIA</v>
      </c>
    </row>
    <row r="2" spans="1:78" ht="16.5" customHeight="1">
      <c r="C2" s="527" t="str">
        <f>Criterios!A10 &amp;"  "&amp;Criterios!B10 &amp; "  " &amp; IF(NOT(ISBLANK(Criterios!A11)),Criterios!A11 &amp;"  "&amp;Criterios!B11,"")</f>
        <v>Provincias  CADIZ  Resumenes por Partidos Judiciales  CEUTA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53</v>
      </c>
      <c r="G10" s="224">
        <f>IF(ISNUMBER(Datos!I10),Datos!I10," - ")</f>
        <v>53</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4</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13</v>
      </c>
      <c r="Z10" s="617">
        <f>IF(ISNUMBER(Datos!Q10),Datos!Q10," - ")</f>
        <v>5</v>
      </c>
      <c r="AA10" s="331">
        <f>IF(ISNUMBER(Datos!L10),Datos!L10,"-")</f>
        <v>59</v>
      </c>
      <c r="AB10" s="333"/>
      <c r="AC10" s="333"/>
      <c r="AD10" s="483"/>
      <c r="AE10" s="483">
        <f>IF(ISNUMBER(Datos!R10),Datos!R10," - ")</f>
        <v>35</v>
      </c>
      <c r="AF10" s="228" t="str">
        <f>IF(ISNUMBER(Datos!BV10),Datos!BV10," - ")</f>
        <v xml:space="preserve"> - </v>
      </c>
      <c r="AG10" s="224" t="str">
        <f>IF(ISNUMBER(Datos!DV10),Datos!DV10," - ")</f>
        <v xml:space="preserve"> - </v>
      </c>
      <c r="AH10" s="297"/>
      <c r="AI10" s="226"/>
      <c r="AJ10" s="224">
        <f>IF(ISNUMBER(Datos!M10),Datos!M10," - ")</f>
        <v>7</v>
      </c>
      <c r="AK10" s="228">
        <f>IF(ISNUMBER(Datos!N10),Datos!N10," - ")</f>
        <v>2</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13.615384615384615</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-2.7777777777777776E-2</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6</v>
      </c>
      <c r="B12" s="506" t="s">
        <v>247</v>
      </c>
      <c r="C12" s="7" t="str">
        <f>Datos!A12</f>
        <v xml:space="preserve">Sección Civil y de Inst. TI                      </v>
      </c>
      <c r="D12" s="507"/>
      <c r="E12" s="1163">
        <f>IF(ISNUMBER(Datos!AQ12),Datos!AQ12," - ")</f>
        <v>6</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326</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434</v>
      </c>
      <c r="AA12" s="331" t="str">
        <f>IF(ISNUMBER(IF(J_V="SI",Datos!L12,Datos!L12+Datos!AB12)-IF(Monitorios="SI",Datos!CD12,0)),
                          IF(J_V="SI",Datos!L12,Datos!L12+Datos!AB12)-IF(Monitorios="SI",Datos!CD12,0),
                          " - ")</f>
        <v xml:space="preserve"> - </v>
      </c>
      <c r="AB12" s="333"/>
      <c r="AC12" s="333"/>
      <c r="AD12" s="483"/>
      <c r="AE12" s="483">
        <f>IF(ISNUMBER(Datos!R12),Datos!R12," - ")</f>
        <v>4004</v>
      </c>
      <c r="AF12" s="228" t="str">
        <f>IF(ISNUMBER(Datos!BV12),Datos!BV12," - ")</f>
        <v xml:space="preserve"> - </v>
      </c>
      <c r="AG12" s="224" t="str">
        <f>IF(ISNUMBER(Datos!DV12),Datos!DV12," - ")</f>
        <v xml:space="preserve"> - </v>
      </c>
      <c r="AH12" s="297"/>
      <c r="AI12" s="226"/>
      <c r="AJ12" s="224">
        <f>IF(ISNUMBER(Datos!M12),Datos!M12," - ")</f>
        <v>225</v>
      </c>
      <c r="AK12" s="228">
        <f>IF(ISNUMBER(Datos!N12),Datos!N12," - ")</f>
        <v>768</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3.693227091633466</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-2.6264591439688716E-2</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6</v>
      </c>
      <c r="F13" s="895">
        <f>SUBTOTAL(9,F8:F12)</f>
        <v>53</v>
      </c>
      <c r="G13" s="895">
        <f>SUBTOTAL(9,G8:G12)</f>
        <v>53</v>
      </c>
      <c r="H13" s="905"/>
      <c r="I13" s="895">
        <f t="shared" ref="I13:N13" si="0">SUBTOTAL(9,I8:I12)</f>
        <v>0</v>
      </c>
      <c r="J13" s="864">
        <f t="shared" si="0"/>
        <v>0</v>
      </c>
      <c r="K13" s="905">
        <f t="shared" si="0"/>
        <v>0</v>
      </c>
      <c r="L13" s="905">
        <f t="shared" si="0"/>
        <v>0</v>
      </c>
      <c r="M13" s="905">
        <f t="shared" si="0"/>
        <v>0</v>
      </c>
      <c r="N13" s="905">
        <f t="shared" si="0"/>
        <v>330</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13</v>
      </c>
      <c r="Z13" s="904">
        <f t="shared" si="2"/>
        <v>439</v>
      </c>
      <c r="AA13" s="897">
        <f t="shared" si="2"/>
        <v>59</v>
      </c>
      <c r="AB13" s="897">
        <f t="shared" si="2"/>
        <v>0</v>
      </c>
      <c r="AC13" s="897">
        <f t="shared" si="2"/>
        <v>0</v>
      </c>
      <c r="AD13" s="897">
        <f t="shared" si="2"/>
        <v>0</v>
      </c>
      <c r="AE13" s="897">
        <f t="shared" si="2"/>
        <v>4039</v>
      </c>
      <c r="AF13" s="905">
        <f t="shared" si="2"/>
        <v>0</v>
      </c>
      <c r="AG13" s="905">
        <f t="shared" si="2"/>
        <v>0</v>
      </c>
      <c r="AH13" s="905">
        <f t="shared" si="2"/>
        <v>0</v>
      </c>
      <c r="AI13" s="905">
        <f t="shared" si="2"/>
        <v>0</v>
      </c>
      <c r="AJ13" s="905">
        <f t="shared" si="2"/>
        <v>232</v>
      </c>
      <c r="AK13" s="905">
        <f t="shared" si="2"/>
        <v>770</v>
      </c>
      <c r="AL13" s="905">
        <f t="shared" si="2"/>
        <v>0</v>
      </c>
      <c r="AM13" s="905">
        <f t="shared" si="2"/>
        <v>0</v>
      </c>
      <c r="AN13" s="905">
        <f t="shared" si="2"/>
        <v>0</v>
      </c>
      <c r="AO13" s="901">
        <f>IF(ISNUMBER(((NºAsuntos!I13/NºAsuntos!G13)*11)/factor_trimestre),((NºAsuntos!I13/NºAsuntos!G13)*11)/factor_trimestre," - ")</f>
        <v>3.7949526813880126</v>
      </c>
      <c r="AP13" s="907" t="str">
        <f>IF(ISNUMBER(Datos!CI13/Datos!CJ13),Datos!CI13/Datos!CJ13," - ")</f>
        <v xml:space="preserve"> - </v>
      </c>
      <c r="AQ13" s="923">
        <f t="shared" ref="AQ13:AV13" si="3">SUBTOTAL(9,AQ9:AQ12)</f>
        <v>0</v>
      </c>
      <c r="AR13" s="923">
        <f t="shared" si="3"/>
        <v>-5.4042369217466496E-2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6</v>
      </c>
      <c r="B17" s="506" t="s">
        <v>397</v>
      </c>
      <c r="C17" s="159" t="str">
        <f>Datos!A17</f>
        <v xml:space="preserve">Sección Civil y de Inst. TI                      </v>
      </c>
      <c r="D17" s="501"/>
      <c r="E17" s="1163">
        <f>IF(ISNUMBER(Datos!AQ17),Datos!AQ17," - ")</f>
        <v>6</v>
      </c>
      <c r="F17" s="332">
        <f>IF(ISNUMBER(AA17+Y17-Datos!J17-K15),AA17+Y17-Datos!J17-K15," - ")</f>
        <v>983</v>
      </c>
      <c r="G17" s="224">
        <f>IF(ISNUMBER(IF(D_I="SI",Datos!I17,Datos!I17+Datos!AC17)),IF(D_I="SI",Datos!I17,Datos!I17+Datos!AC17)," - ")</f>
        <v>982</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54</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1269</v>
      </c>
      <c r="Z17" s="617">
        <f>IF(ISNUMBER(Datos!Q17),Datos!Q17," - ")</f>
        <v>50</v>
      </c>
      <c r="AA17" s="331">
        <f>IF(ISNUMBER(IF(D_I="SI",Datos!L17,Datos!L17+Datos!AF17)),IF(D_I="SI",Datos!L17,Datos!L17+Datos!AF17)," - ")</f>
        <v>893</v>
      </c>
      <c r="AB17" s="333"/>
      <c r="AC17" s="333"/>
      <c r="AD17" s="483"/>
      <c r="AE17" s="483">
        <f>IF(ISNUMBER(Datos!R17),Datos!R17," - ")</f>
        <v>194</v>
      </c>
      <c r="AF17" s="228" t="str">
        <f>IF(ISNUMBER(Datos!BV17),Datos!BV17," - ")</f>
        <v xml:space="preserve"> - </v>
      </c>
      <c r="AG17" s="224"/>
      <c r="AH17" s="297"/>
      <c r="AI17" s="226"/>
      <c r="AJ17" s="224">
        <f>IF(ISNUMBER(Datos!M17),Datos!M17," - ")</f>
        <v>145</v>
      </c>
      <c r="AK17" s="228">
        <f>IF(ISNUMBER(Datos!N17),Datos!N17," - ")</f>
        <v>885</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2.1111111111111112</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56</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4</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115</v>
      </c>
      <c r="Z18" s="617">
        <f>IF(ISNUMBER(Datos!Q18),Datos!Q18," - ")</f>
        <v>4</v>
      </c>
      <c r="AA18" s="331">
        <f>IF(ISNUMBER(Datos!L18),Datos!L18,"-")</f>
        <v>134</v>
      </c>
      <c r="AB18" s="333"/>
      <c r="AC18" s="333"/>
      <c r="AD18" s="483"/>
      <c r="AE18" s="483">
        <f>IF(ISNUMBER(Datos!R18),Datos!R18," - ")</f>
        <v>13</v>
      </c>
      <c r="AF18" s="228" t="str">
        <f>IF(ISNUMBER(Datos!BV18),Datos!BV18," - ")</f>
        <v xml:space="preserve"> - </v>
      </c>
      <c r="AG18" s="224" t="str">
        <f>IF(ISNUMBER(Datos!DV18),Datos!DV18," - ")</f>
        <v xml:space="preserve"> - </v>
      </c>
      <c r="AH18" s="297"/>
      <c r="AI18" s="226"/>
      <c r="AJ18" s="224">
        <f>IF(ISNUMBER(Datos!M18),Datos!M18," - ")</f>
        <v>28</v>
      </c>
      <c r="AK18" s="228">
        <f>IF(ISNUMBER(Datos!N18),Datos!N18," - ")</f>
        <v>84</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3.4956521739130437</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6</v>
      </c>
      <c r="F19" s="895">
        <f>SUBTOTAL(9,F15:F18)</f>
        <v>983</v>
      </c>
      <c r="G19" s="895">
        <f>SUBTOTAL(9,G15:G18)</f>
        <v>1038</v>
      </c>
      <c r="H19" s="927">
        <f>SUBTOTAL(9,H15:H18)</f>
        <v>0</v>
      </c>
      <c r="I19" s="908">
        <f>SUBTOTAL(9,I15:I18)</f>
        <v>0</v>
      </c>
      <c r="J19" s="864">
        <f>SUBTOTAL(9,J14:J18)</f>
        <v>0</v>
      </c>
      <c r="K19" s="927">
        <f t="shared" ref="K19:S19" si="4">SUBTOTAL(9,K15:K18)</f>
        <v>0</v>
      </c>
      <c r="L19" s="927">
        <f t="shared" si="4"/>
        <v>0</v>
      </c>
      <c r="M19" s="927">
        <f t="shared" si="4"/>
        <v>0</v>
      </c>
      <c r="N19" s="927">
        <f t="shared" si="4"/>
        <v>58</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1384</v>
      </c>
      <c r="Z19" s="927">
        <f t="shared" si="5"/>
        <v>54</v>
      </c>
      <c r="AA19" s="927">
        <f t="shared" si="5"/>
        <v>1027</v>
      </c>
      <c r="AB19" s="927">
        <f t="shared" si="5"/>
        <v>0</v>
      </c>
      <c r="AC19" s="927">
        <f t="shared" si="5"/>
        <v>0</v>
      </c>
      <c r="AD19" s="927">
        <f t="shared" si="5"/>
        <v>0</v>
      </c>
      <c r="AE19" s="927">
        <f t="shared" si="5"/>
        <v>207</v>
      </c>
      <c r="AF19" s="927">
        <f t="shared" si="5"/>
        <v>0</v>
      </c>
      <c r="AG19" s="927">
        <f t="shared" si="5"/>
        <v>0</v>
      </c>
      <c r="AH19" s="927">
        <f t="shared" si="5"/>
        <v>0</v>
      </c>
      <c r="AI19" s="927">
        <f t="shared" si="5"/>
        <v>0</v>
      </c>
      <c r="AJ19" s="927">
        <f t="shared" si="5"/>
        <v>173</v>
      </c>
      <c r="AK19" s="927">
        <f t="shared" si="5"/>
        <v>969</v>
      </c>
      <c r="AL19" s="927">
        <f t="shared" si="5"/>
        <v>0</v>
      </c>
      <c r="AM19" s="927">
        <f t="shared" si="5"/>
        <v>0</v>
      </c>
      <c r="AN19" s="927">
        <f t="shared" si="5"/>
        <v>0</v>
      </c>
      <c r="AO19" s="929">
        <f>IF(ISNUMBER(((NºAsuntos!I19/NºAsuntos!G19)*11)/factor_trimestre),((NºAsuntos!I19/NºAsuntos!G19)*11)/factor_trimestre," - ")</f>
        <v>2.2261560693641615</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12</v>
      </c>
      <c r="F20" s="817">
        <f t="shared" si="7"/>
        <v>1036</v>
      </c>
      <c r="G20" s="817">
        <f t="shared" si="7"/>
        <v>1091</v>
      </c>
      <c r="H20" s="818">
        <f t="shared" si="7"/>
        <v>0</v>
      </c>
      <c r="I20" s="817">
        <f t="shared" si="7"/>
        <v>0</v>
      </c>
      <c r="J20" s="819">
        <f t="shared" si="7"/>
        <v>0</v>
      </c>
      <c r="K20" s="817">
        <f t="shared" si="7"/>
        <v>0</v>
      </c>
      <c r="L20" s="820">
        <f t="shared" si="7"/>
        <v>0</v>
      </c>
      <c r="M20" s="817">
        <f t="shared" si="7"/>
        <v>0</v>
      </c>
      <c r="N20" s="818">
        <f t="shared" si="7"/>
        <v>388</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1397</v>
      </c>
      <c r="Z20" s="824">
        <f t="shared" si="8"/>
        <v>493</v>
      </c>
      <c r="AA20" s="825">
        <f t="shared" si="8"/>
        <v>1086</v>
      </c>
      <c r="AB20" s="825">
        <f t="shared" si="8"/>
        <v>0</v>
      </c>
      <c r="AC20" s="825">
        <f t="shared" si="8"/>
        <v>0</v>
      </c>
      <c r="AD20" s="826">
        <f t="shared" si="8"/>
        <v>0</v>
      </c>
      <c r="AE20" s="826">
        <f t="shared" si="8"/>
        <v>4246</v>
      </c>
      <c r="AF20" s="827">
        <f t="shared" si="8"/>
        <v>0</v>
      </c>
      <c r="AG20" s="828">
        <f t="shared" si="8"/>
        <v>0</v>
      </c>
      <c r="AH20" s="829">
        <f t="shared" si="8"/>
        <v>0</v>
      </c>
      <c r="AI20" s="827">
        <f t="shared" si="8"/>
        <v>0</v>
      </c>
      <c r="AJ20" s="817">
        <f t="shared" si="8"/>
        <v>405</v>
      </c>
      <c r="AK20" s="817">
        <f t="shared" si="8"/>
        <v>1739</v>
      </c>
      <c r="AL20" s="817">
        <f t="shared" si="8"/>
        <v>0</v>
      </c>
      <c r="AM20" s="830">
        <f t="shared" si="8"/>
        <v>0</v>
      </c>
      <c r="AN20" s="820">
        <f>IF(ISNUMBER(Datos!K20/Datos!J20),Datos!K20/Datos!J20," - ")</f>
        <v>1.0047619047619047</v>
      </c>
      <c r="AO20" s="820">
        <f>IF(ISNUMBER(FIND("06",Criterios!A8,1)),(IF(ISNUMBER(((Datos!R20/Datos!Q20)*11)/factor_trimestre),((Datos!R20/Datos!Q20)*11)/factor_trimestre," - ")),(IF(ISNUMBER(((Datos!L20/Datos!K20)*11)/factor_trimestre),((Datos!L20/Datos!K20)*11)/factor_trimestre," - ")))</f>
        <v>2.9040284360189577</v>
      </c>
      <c r="AP20" s="831" t="str">
        <f>IF(ISNUMBER(Datos!CI20/Datos!CJ20),Datos!CI20/Datos!CJ20," - ")</f>
        <v xml:space="preserve"> - </v>
      </c>
      <c r="AQ20" s="831">
        <f>IF(OR(ISNUMBER(FIND("01",Criterios!A8,1)),ISNUMBER(FIND("02",Criterios!A8,1)),ISNUMBER(FIND("03",Criterios!A8,1)),ISNUMBER(FIND("04",Criterios!A8,1))),(J20-Y20+K20)/(F20-K20),(I20-Y20+K20)/(F20-K20))</f>
        <v>-1.3484555984555984</v>
      </c>
      <c r="AR20" s="831">
        <f>IF(ISNUMBER((Datos!P20-Datos!Q20+O20)/(Datos!R20-Datos!P20+Datos!Q20-O20)),(Datos!P20-Datos!Q20+O20)/(Datos!R20-Datos!P20+Datos!Q20-O20)," - ")</f>
        <v>-2.4132383360147093E-2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436.4</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536.93575034635194</v>
      </c>
      <c r="G22" s="551">
        <f>IF(ISNUMBER(STDEV(G8:G19)),STDEV(G8:G19),"-")</f>
        <v>523.99837786008459</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96.835943739915095</v>
      </c>
      <c r="AK22" s="251"/>
      <c r="AL22" s="251">
        <f>IF(ISNUMBER(STDEV(AL8:AL19)),STDEV(AL8:AL19),"-")</f>
        <v>0</v>
      </c>
      <c r="AM22" s="253">
        <f>IF(ISNUMBER(STDEV(AM8:AM19)),STDEV(AM8:AM19),"-")</f>
        <v>0</v>
      </c>
      <c r="AN22" s="538">
        <f>IF(ISNUMBER(STDEV(AN8:AN19)),STDEV(AN8:AN19),"-")</f>
        <v>0</v>
      </c>
      <c r="AO22" s="539">
        <f>IF(ISNUMBER(STDEV(AO8:AO19)),STDEV(AO8:AO19),"-")</f>
        <v>4.3703337847958634</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FxZK7AaqF9nztMx2QHD4NYgYdVDaX5lDaC0abZtiPvBHRWRdz9DIqZA+eZib6rQdtz2PhjFbFeHPLKypYy9nSg==" saltValue="9AOfFGImYjQpZtYx1tHOF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jrhoARrpmu8RdPnRlRzT+IEpga3gTATNID77WNOnRPLGgq0wPEtD9EONs4trdRDJzvCM79+48czbPXqCXW4psw==" saltValue="wiyc4E1+wt4nrkbjuHIRy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CADIZ</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n+NvcLEtdmeCnhir5uW74pTRAgFyEe62HmNCmXFE8BFfXFzezeEIYsX9Kl4rtVZYwX+5CjLuKTFS47iuSMH0w==" saltValue="1410Gry+5op7uvAJlbJInQ=="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ANDALUCIA</v>
      </c>
    </row>
    <row r="2" spans="1:78" ht="16.5" customHeight="1">
      <c r="C2" s="1263" t="str">
        <f>Criterios!A10 &amp;"  "&amp;Criterios!B10 &amp; "  " &amp; IF(NOT(ISBLANK(Criterios!A11)),Criterios!A11 &amp;"  "&amp;Criterios!B11,"")</f>
        <v>Provincias  CADIZ  Resumenes por Partidos Judiciales  CEUTA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0.18296529968454259</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0.12937600412876893</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G71rUihA/cdMSH7SRWO4jrkTr63TlywAkkaaoxRXDMy3wd8tCzEo0Y3jz29UFxQMK6gTTvh1VJjA5SnAHFQkVw==" saltValue="wFHzqnhKHS1sxWpJQjldVQ=="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CzfTs5R44kh6kzPHtDOH/w9dsU1DcdK5ydc2whSTOx7asXens7BIQj4atkcOMSB510H7zfIyrfDLV0TecMt8YA==" saltValue="XninaGC280XKbiKLPh1S5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ANDALUCIA</v>
      </c>
      <c r="C2" s="374"/>
      <c r="D2" s="374"/>
      <c r="E2" s="374"/>
      <c r="F2" s="374"/>
    </row>
    <row r="3" spans="1:69" ht="19.5">
      <c r="A3" s="389" t="s">
        <v>115</v>
      </c>
      <c r="B3" s="390" t="str">
        <f>Criterios!A10 &amp;"  "&amp;Criterios!B10</f>
        <v>Provincias  CADIZ</v>
      </c>
      <c r="D3" s="374"/>
      <c r="E3" s="374"/>
      <c r="F3" s="374"/>
      <c r="BQ3" s="470"/>
    </row>
    <row r="4" spans="1:69" ht="13.5" thickBot="1">
      <c r="A4" s="374"/>
      <c r="B4" s="390" t="str">
        <f>Criterios!A11 &amp;"  "&amp;Criterios!B11</f>
        <v>Resumenes por Partidos Judiciales  CEUTA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53</v>
      </c>
      <c r="D10" s="403">
        <f>IF(ISNUMBER(C10/Datos!BH10),C10/Datos!BH10," - ")</f>
        <v>53</v>
      </c>
      <c r="E10" s="402">
        <f>IF(ISNUMBER(Datos!J10),Datos!J10," - ")</f>
        <v>19</v>
      </c>
      <c r="F10" s="403">
        <f>IF(ISNUMBER(E10/B10),E10/B10," - ")</f>
        <v>19</v>
      </c>
      <c r="G10" s="402">
        <f>IF(ISNUMBER(Datos!K10),Datos!K10," - ")</f>
        <v>13</v>
      </c>
      <c r="H10" s="403">
        <f>IF(ISNUMBER(G10/B10),G10/B10," - ")</f>
        <v>13</v>
      </c>
      <c r="I10" s="402">
        <f>IF(ISNUMBER(Datos!L10),Datos!L10," - ")</f>
        <v>59</v>
      </c>
      <c r="J10" s="403">
        <f>IF(ISNUMBER(I10/B10),I10/B10," - ")</f>
        <v>59</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6</v>
      </c>
      <c r="C12" s="402">
        <f>IF(ISNUMBER(IF(J_V="SI",Datos!I12,Datos!I12+Datos!Y12)),IF(J_V="SI",Datos!I12,Datos!I12+Datos!Y12)," - ")</f>
        <v>1386</v>
      </c>
      <c r="D12" s="403">
        <f>IF(ISNUMBER(C12/Datos!BH12),C12/Datos!BH12," - ")</f>
        <v>231</v>
      </c>
      <c r="E12" s="402">
        <f>IF(ISNUMBER(IF(J_V="SI",Datos!J12,Datos!J12+Datos!Z12)),IF(J_V="SI",Datos!J12,Datos!J12+Datos!Z12)," - ")</f>
        <v>1375</v>
      </c>
      <c r="F12" s="403">
        <f>IF(ISNUMBER(E12/B12),E12/B12," - ")</f>
        <v>229.16666666666666</v>
      </c>
      <c r="G12" s="402">
        <f>IF(ISNUMBER(IF(J_V="SI",Datos!K12,Datos!K12+Datos!AA12)),IF(J_V="SI",Datos!K12,Datos!K12+Datos!AA12)," - ")</f>
        <v>1255</v>
      </c>
      <c r="H12" s="403">
        <f>IF(ISNUMBER(G12/B12),G12/B12," - ")</f>
        <v>209.16666666666666</v>
      </c>
      <c r="I12" s="402">
        <f>IF(ISNUMBER(IF(J_V="SI",Datos!L12,Datos!L12+Datos!AB12)),IF(J_V="SI",Datos!L12,Datos!L12+Datos!AB12)," - ")</f>
        <v>1545</v>
      </c>
      <c r="J12" s="403">
        <f>IF(ISNUMBER(I12/B12),I12/B12," - ")</f>
        <v>257.5</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6</v>
      </c>
      <c r="C13" s="846">
        <f>SUBTOTAL(9,C8:C12)</f>
        <v>1439</v>
      </c>
      <c r="D13" s="847" t="str">
        <f>IF(ISNUMBER(C13/Datos!BI13),C13/Datos!BI13," - ")</f>
        <v xml:space="preserve"> - </v>
      </c>
      <c r="E13" s="846">
        <f>SUBTOTAL(9,E8:E12)</f>
        <v>1394</v>
      </c>
      <c r="F13" s="847">
        <f>IF(ISNUMBER(E13/B13),E13/B13," - ")</f>
        <v>232.33333333333334</v>
      </c>
      <c r="G13" s="846">
        <f>SUBTOTAL(9,G8:G12)</f>
        <v>1268</v>
      </c>
      <c r="H13" s="847">
        <f>IF(ISNUMBER(G13/B13),G13/B13," - ")</f>
        <v>211.33333333333334</v>
      </c>
      <c r="I13" s="846">
        <f>SUBTOTAL(9,I8:I12)</f>
        <v>1604</v>
      </c>
      <c r="J13" s="847">
        <f>IF(ISNUMBER(I13/B13),I13/B13," - ")</f>
        <v>267.33333333333331</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6</v>
      </c>
      <c r="C17" s="402">
        <f>IF(ISNUMBER(IF(D_I="SI",Datos!I17,Datos!I17+Datos!AC17)),IF(D_I="SI",Datos!I17,Datos!I17+Datos!AC17)," - ")</f>
        <v>982</v>
      </c>
      <c r="D17" s="403">
        <f>IF(ISNUMBER(C17/Datos!BH17),C17/Datos!BH17," - ")</f>
        <v>163.66666666666666</v>
      </c>
      <c r="E17" s="402">
        <f>IF(ISNUMBER(IF(D_I="SI",Datos!J17,Datos!J17+Datos!AD17)),IF(D_I="SI",Datos!J17,Datos!J17+Datos!AD17)," - ")</f>
        <v>1179</v>
      </c>
      <c r="F17" s="403">
        <f>IF(ISNUMBER(E17/B17),E17/B17," - ")</f>
        <v>196.5</v>
      </c>
      <c r="G17" s="402">
        <f>IF(ISNUMBER(IF(D_I="SI",Datos!K17,Datos!K17+Datos!AE17)),IF(D_I="SI",Datos!K17,Datos!K17+Datos!AE17)," - ")</f>
        <v>1269</v>
      </c>
      <c r="H17" s="403">
        <f>IF(ISNUMBER(G17/B17),G17/B17," - ")</f>
        <v>211.5</v>
      </c>
      <c r="I17" s="402">
        <f>IF(ISNUMBER(IF(D_I="SI",Datos!L17,Datos!L17+Datos!AF17)),IF(D_I="SI",Datos!L17,Datos!L17+Datos!AF17)," - ")</f>
        <v>893</v>
      </c>
      <c r="J17" s="403">
        <f>IF(ISNUMBER(I17/B17),I17/B17," - ")</f>
        <v>148.83333333333334</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56</v>
      </c>
      <c r="D18" s="403">
        <f>IF(ISNUMBER(C18/Datos!BH18),C18/Datos!BH18," - ")</f>
        <v>56</v>
      </c>
      <c r="E18" s="402">
        <f>IF(ISNUMBER(IF(D_I="SI",Datos!J18,Datos!J18+Datos!AD18)),IF(D_I="SI",Datos!J18,Datos!J18+Datos!AD18)," - ")</f>
        <v>127</v>
      </c>
      <c r="F18" s="403">
        <f>IF(ISNUMBER(E18/B18),E18/B18," - ")</f>
        <v>127</v>
      </c>
      <c r="G18" s="402">
        <f>IF(ISNUMBER(IF(D_I="SI",Datos!K18,Datos!K18+Datos!AE18)),IF(D_I="SI",Datos!K18,Datos!K18+Datos!AE18)," - ")</f>
        <v>115</v>
      </c>
      <c r="H18" s="403">
        <f>IF(ISNUMBER(G18/B18),G18/B18," - ")</f>
        <v>115</v>
      </c>
      <c r="I18" s="402">
        <f>IF(ISNUMBER(IF(D_I="SI",Datos!L18,Datos!L18+Datos!AF18)),IF(D_I="SI",Datos!L18,Datos!L18+Datos!AF18)," - ")</f>
        <v>134</v>
      </c>
      <c r="J18" s="403">
        <f>IF(ISNUMBER(I18/B18),I18/B18," - ")</f>
        <v>134</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6</v>
      </c>
      <c r="C19" s="846">
        <f>SUBTOTAL(9,C14:C18)</f>
        <v>1038</v>
      </c>
      <c r="D19" s="847" t="str">
        <f>IF(ISNUMBER(C19/Datos!BI19),C19/Datos!BI19," - ")</f>
        <v xml:space="preserve"> - </v>
      </c>
      <c r="E19" s="846">
        <f>SUBTOTAL(9,E14:E18)</f>
        <v>1306</v>
      </c>
      <c r="F19" s="847">
        <f>IF(ISNUMBER(E19/B19),E19/B19," - ")</f>
        <v>217.66666666666666</v>
      </c>
      <c r="G19" s="846">
        <f>SUBTOTAL(9,G14:G18)</f>
        <v>1384</v>
      </c>
      <c r="H19" s="847">
        <f>IF(ISNUMBER(G19/B19),G19/B19," - ")</f>
        <v>230.66666666666666</v>
      </c>
      <c r="I19" s="846">
        <f>SUBTOTAL(9,I14:I18)</f>
        <v>1027</v>
      </c>
      <c r="J19" s="847">
        <f>IF(ISNUMBER(I19/B19),I19/B19," - ")</f>
        <v>171.16666666666666</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6</v>
      </c>
      <c r="C20" s="791">
        <f>SUBTOTAL(9,C9:C19)</f>
        <v>2477</v>
      </c>
      <c r="D20" s="792" t="str">
        <f>IF(ISNUMBER(C20/Datos!BI20),C20/Datos!BI20," - ")</f>
        <v xml:space="preserve"> - </v>
      </c>
      <c r="E20" s="791">
        <f>SUBTOTAL(9,E9:E19)</f>
        <v>2700</v>
      </c>
      <c r="F20" s="792">
        <f>IF(ISNUMBER(E20/B20),E20/B20," - ")</f>
        <v>450</v>
      </c>
      <c r="G20" s="791">
        <f>SUBTOTAL(9,G9:G19)</f>
        <v>2652</v>
      </c>
      <c r="H20" s="792">
        <f>IF(ISNUMBER(G20/B20),G20/B20," - ")</f>
        <v>442</v>
      </c>
      <c r="I20" s="791">
        <f>SUBTOTAL(9,I9:I19)</f>
        <v>2631</v>
      </c>
      <c r="J20" s="792">
        <f>IF(ISNUMBER(I20/B20),I20/B20," - ")</f>
        <v>438.5</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0xRDnmxgDT8DaSV1gfceGuDnOsFW8QKAdxIza9F9FryYN15fICRh3u0wSWyys80X5zsOqYKQ8Ajs7OcTiYlPLw==" saltValue="j6C94Nba+1t9MOilN8phbg=="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ANDALUCIA</v>
      </c>
      <c r="W1"/>
      <c r="X1"/>
    </row>
    <row r="2" spans="1:78" ht="16.5" customHeight="1">
      <c r="C2" s="487" t="str">
        <f>Criterios!A10 &amp;"  "&amp;Criterios!B10 &amp; "  " &amp; IF(NOT(ISBLANK(Criterios!A11)),Criterios!A11 &amp;"  "&amp;Criterios!B11,"")</f>
        <v>Provincias  CADIZ  Resumenes por Partidos Judiciales  CEUTA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53</v>
      </c>
      <c r="G10" s="681">
        <f>IF(ISNUMBER(Datos!I10),Datos!I10," - ")</f>
        <v>53</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4</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13</v>
      </c>
      <c r="AC10" s="680" t="str">
        <f>IF(ISNUMBER(IF(D_I="SI",DatosP!K18,DatosP!K18+DatosP!AE18)),IF(D_I="SI",DatosP!K18,DatosP!K18+DatosP!AE18)," - ")</f>
        <v xml:space="preserve"> - </v>
      </c>
      <c r="AD10" s="682"/>
      <c r="AE10" s="682"/>
      <c r="AF10" s="685">
        <f>IF(ISNUMBER(Datos!L10),Datos!L10,"-")</f>
        <v>59</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7</v>
      </c>
      <c r="AM10" s="687">
        <f>IF(ISNUMBER(Datos!N10+DatosP!N18),Datos!N10+DatosP!N18," - ")</f>
        <v>2</v>
      </c>
      <c r="AN10" s="687">
        <f>IF(ISNUMBER(Datos!BW10+DatosP!BW18),Datos!BW10+DatosP!BW18," - ")</f>
        <v>0</v>
      </c>
      <c r="AO10" s="688">
        <f>IF(ISNUMBER(Datos!BX10+DatosP!BX18),Datos!BX10+DatosP!BX18," - ")</f>
        <v>0</v>
      </c>
      <c r="AP10" s="690">
        <f>IF(ISNUMBER(((Datos!L10/Datos!K10)*11)/factor_trimestre),((Datos!L10/Datos!K10)*11)/factor_trimestre," - ")</f>
        <v>13.615384615384615</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6</v>
      </c>
      <c r="B12" s="506" t="s">
        <v>247</v>
      </c>
      <c r="C12" s="7" t="str">
        <f>Datos!A12</f>
        <v xml:space="preserve">Sección Civil y de Inst. TI                      </v>
      </c>
      <c r="D12" s="507"/>
      <c r="E12" s="679">
        <f>IF(ISNUMBER(Datos!AQ12),Datos!AQ12," - ")</f>
        <v>6</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326</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434</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4004</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225</v>
      </c>
      <c r="AM12" s="687">
        <f>IF(ISNUMBER(Datos!N12+DatosP!N17),Datos!N12+DatosP!N17," - ")</f>
        <v>768</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3.693227091633466</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-2.6264591439688716E-2</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6</v>
      </c>
      <c r="F13" s="933">
        <f t="shared" si="0"/>
        <v>53</v>
      </c>
      <c r="G13" s="933">
        <f t="shared" si="0"/>
        <v>53</v>
      </c>
      <c r="H13" s="933">
        <f t="shared" si="0"/>
        <v>0</v>
      </c>
      <c r="I13" s="935">
        <f t="shared" si="0"/>
        <v>0</v>
      </c>
      <c r="J13" s="934">
        <f t="shared" si="0"/>
        <v>0</v>
      </c>
      <c r="K13" s="934">
        <f t="shared" si="0"/>
        <v>0</v>
      </c>
      <c r="L13" s="936">
        <f t="shared" si="0"/>
        <v>0</v>
      </c>
      <c r="M13" s="936">
        <f t="shared" si="0"/>
        <v>0</v>
      </c>
      <c r="N13" s="934">
        <f t="shared" si="0"/>
        <v>330</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13</v>
      </c>
      <c r="AC13" s="934">
        <f t="shared" si="1"/>
        <v>0</v>
      </c>
      <c r="AD13" s="934">
        <f t="shared" si="1"/>
        <v>434</v>
      </c>
      <c r="AE13" s="934">
        <f t="shared" si="1"/>
        <v>0</v>
      </c>
      <c r="AF13" s="934">
        <f t="shared" si="1"/>
        <v>59</v>
      </c>
      <c r="AG13" s="934">
        <f t="shared" si="1"/>
        <v>0</v>
      </c>
      <c r="AH13" s="934">
        <f t="shared" si="1"/>
        <v>4004</v>
      </c>
      <c r="AI13" s="934">
        <f t="shared" si="1"/>
        <v>0</v>
      </c>
      <c r="AJ13" s="934">
        <f t="shared" si="1"/>
        <v>0</v>
      </c>
      <c r="AK13" s="934">
        <f t="shared" si="1"/>
        <v>0</v>
      </c>
      <c r="AL13" s="934">
        <f t="shared" si="1"/>
        <v>232</v>
      </c>
      <c r="AM13" s="934">
        <f t="shared" si="1"/>
        <v>770</v>
      </c>
      <c r="AN13" s="934">
        <f t="shared" si="1"/>
        <v>0</v>
      </c>
      <c r="AO13" s="934">
        <f t="shared" si="1"/>
        <v>0</v>
      </c>
      <c r="AP13" s="939">
        <f>IF(ISNUMBER(((Datos!L13/Datos!K13)*11)/factor_trimestre),((Datos!L13/Datos!K13)*11)/factor_trimestre," - ")</f>
        <v>3.7212543554006974</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-0.24528301886792453</v>
      </c>
      <c r="AU13" s="934" t="str">
        <f>IF(ISNUMBER((DatosP!#REF!-DatosP!#REF!+DatosP!#REF!)/(DatosP!#REF!+DatosP!#REF!-DatosP!#REF!-DatosP!#REF!)),(DatosP!#REF!-DatosP!#REF!+DatosP!#REF!)/(DatosP!#REF!+DatosP!#REF!-DatosP!#REF!-DatosP!#REF!)," - ")</f>
        <v xml:space="preserve"> - </v>
      </c>
      <c r="AV13" s="940">
        <f>SUBTOTAL(9,AV9:AV12)</f>
        <v>-2.6264591439688716E-2</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6</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2.2261560693641615</v>
      </c>
      <c r="AQ19" s="939">
        <f>IF(ISNUMBER(((Datos!M19/Datos!L19)*11)/factor_trimestre),((Datos!M19/Datos!L19)*11)/factor_trimestre," - ")</f>
        <v>0.50535540408958135</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1.9704433497536946E-2</v>
      </c>
      <c r="AW19" s="941">
        <f>IF(ISNUMBER((Datos!Q19-Datos!R19)/(Datos!S19-Datos!Q19+Datos!R19)),(Datos!Q19-Datos!R19)/(Datos!S19-Datos!Q19+Datos!R19)," - ")</f>
        <v>-0.14825581395348839</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6</v>
      </c>
      <c r="F20" s="946">
        <f t="shared" si="4"/>
        <v>53</v>
      </c>
      <c r="G20" s="946">
        <f t="shared" si="4"/>
        <v>53</v>
      </c>
      <c r="H20" s="946">
        <f t="shared" si="4"/>
        <v>0</v>
      </c>
      <c r="I20" s="947">
        <f t="shared" si="4"/>
        <v>0</v>
      </c>
      <c r="J20" s="948">
        <f t="shared" si="4"/>
        <v>0</v>
      </c>
      <c r="K20" s="948">
        <f t="shared" si="4"/>
        <v>0</v>
      </c>
      <c r="L20" s="948">
        <f t="shared" si="4"/>
        <v>0</v>
      </c>
      <c r="M20" s="948">
        <f t="shared" si="4"/>
        <v>0</v>
      </c>
      <c r="N20" s="947">
        <f t="shared" si="4"/>
        <v>330</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13</v>
      </c>
      <c r="AC20" s="952">
        <f t="shared" si="5"/>
        <v>0</v>
      </c>
      <c r="AD20" s="952">
        <f t="shared" si="5"/>
        <v>434</v>
      </c>
      <c r="AE20" s="952">
        <f t="shared" si="5"/>
        <v>0</v>
      </c>
      <c r="AF20" s="953">
        <f t="shared" si="5"/>
        <v>59</v>
      </c>
      <c r="AG20" s="953">
        <f t="shared" si="5"/>
        <v>0</v>
      </c>
      <c r="AH20" s="953">
        <f t="shared" si="5"/>
        <v>4004</v>
      </c>
      <c r="AI20" s="953">
        <f t="shared" si="5"/>
        <v>0</v>
      </c>
      <c r="AJ20" s="954">
        <f t="shared" si="5"/>
        <v>0</v>
      </c>
      <c r="AK20" s="954">
        <f t="shared" si="5"/>
        <v>0</v>
      </c>
      <c r="AL20" s="946">
        <f t="shared" si="5"/>
        <v>232</v>
      </c>
      <c r="AM20" s="946">
        <f t="shared" si="5"/>
        <v>770</v>
      </c>
      <c r="AN20" s="946">
        <f t="shared" si="5"/>
        <v>0</v>
      </c>
      <c r="AO20" s="946">
        <f t="shared" si="5"/>
        <v>0</v>
      </c>
      <c r="AP20" s="946">
        <f>IF(ISNUMBER(((Datos!L20/Datos!K20)*11)/factor_trimestre),((Datos!L20/Datos!K20)*11)/factor_trimestre," - ")</f>
        <v>2.9040284360189577</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-0.24528301886792453</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-2.4132383360147093E-2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35.333333333333336</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3.0983866769659336</v>
      </c>
      <c r="F22" s="733">
        <f>IF(ISNUMBER(STDEV(F8:F19)),STDEV(F8:F19),"-")</f>
        <v>30.599564267050166</v>
      </c>
      <c r="G22" s="734">
        <f>IF(ISNUMBER(STDEV(G8:G19)),STDEV(G8:G19),"-")</f>
        <v>30.599564267050166</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7.5055534994651349</v>
      </c>
      <c r="AC22" s="735">
        <f>IF(ISNUMBER(STDEV(AC8:AC19)),STDEV(AC8:AC19),"-")</f>
        <v>0</v>
      </c>
      <c r="AD22" s="738"/>
      <c r="AE22" s="738"/>
      <c r="AF22" s="738"/>
      <c r="AG22" s="738"/>
      <c r="AH22" s="738"/>
      <c r="AI22" s="738"/>
      <c r="AJ22" s="739">
        <f>IF(ISNUMBER(STDEV(AJ8:AJ19)),STDEV(AJ8:AJ19),"-")</f>
        <v>0</v>
      </c>
      <c r="AK22" s="741"/>
      <c r="AL22" s="733">
        <f>IF(ISNUMBER(STDEV(AL8:AL19)),STDEV(AL8:AL19),"-")</f>
        <v>129.96666239206627</v>
      </c>
      <c r="AM22" s="733"/>
      <c r="AN22" s="733">
        <f>IF(ISNUMBER(STDEV(AN8:AN19)),STDEV(AN8:AN19),"-")</f>
        <v>0</v>
      </c>
      <c r="AO22" s="739">
        <f>IF(ISNUMBER(STDEV(AO8:AO19)),STDEV(AO8:AO19),"-")</f>
        <v>0</v>
      </c>
      <c r="AP22" s="776">
        <f>IF(ISNUMBER(STDEV(AP8:AP19)),STDEV(AP8:AP19),"-")</f>
        <v>5.2475863673848044</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6PIBa+B7dXCZFCnNzApfCqDHSfM30Q4u81Rmd/laWTXKS2wkXJSOsEoHRXiZ2u5rQXsxTkmzzGoZuj1y4UATXQ==" saltValue="C3R6m0WVeOocm4Ua+UUwi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ANDALUCIA</v>
      </c>
    </row>
    <row r="2" spans="1:168" ht="16.5" customHeight="1">
      <c r="C2" s="487" t="str">
        <f>Criterios!A10 &amp;"  "&amp;Criterios!B10 &amp; "  " &amp; IF(NOT(ISBLANK(Criterios!A11)),Criterios!A11 &amp;"  "&amp;Criterios!B11,"")</f>
        <v>Provincias  CADIZ  Resumenes por Partidos Judiciales  CEUTA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489.42234353319009</v>
      </c>
      <c r="CF9" s="228">
        <f ca="1">AVERAGEIFS($AB:$AB,$BW:$BW,BW9,$BX:$BX,BX9)</f>
        <v>489.42234353319009</v>
      </c>
      <c r="CG9" s="1191">
        <v>0.7</v>
      </c>
      <c r="CH9" s="1191">
        <f ca="1">AVERAGEIF($BW:$BW,$BW9,$AC:$AC)</f>
        <v>147.9</v>
      </c>
      <c r="CI9" s="228">
        <f ca="1">AVERAGEIFS($AC:$AC,$BW:$BW,$BW9,$BX:$BX,$BX9)</f>
        <v>147.9</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362</v>
      </c>
      <c r="CR9" s="228">
        <f ca="1">AVERAGEIFS($AF:$AF,$BW:$BW,BW9,$BX:$BX,BX9)</f>
        <v>362</v>
      </c>
      <c r="CS9" s="1191">
        <v>1.3</v>
      </c>
      <c r="CT9" s="1191">
        <v>1.5</v>
      </c>
      <c r="CU9" s="1191">
        <f ca="1">AVERAGEIF($BW:$BW,$BW9,$AH:$AH)</f>
        <v>77.142857142857139</v>
      </c>
      <c r="CV9" s="228">
        <f ca="1">AVERAGEIFS($AH:$AH,$BW:$BW,$BW9,$BX:$BX,$BX9)</f>
        <v>77.142857142857139</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1273.8</v>
      </c>
      <c r="DH9" s="1218">
        <f ca="1">AVERAGEIFS($AM:$AM,$BW:$BW,$BW9,$BX:$BX,$BX9)</f>
        <v>1273.8</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3.2855196502359649</v>
      </c>
      <c r="ER9" s="1218">
        <f ca="1">AVERAGEIFS($BH:$BH,$BW:$BW,$BW9,$BX:$BX,$BX9)</f>
        <v>3.2855196502359649</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53</v>
      </c>
      <c r="G10" s="332">
        <f>IF(ISNUMBER(Datos!I10),Datos!I10," - ")</f>
        <v>53</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4</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13</v>
      </c>
      <c r="AC10" s="224">
        <f>IF(ISNUMBER(Datos!Q10),Datos!Q10," - ")</f>
        <v>5</v>
      </c>
      <c r="AD10" s="224"/>
      <c r="AE10" s="224"/>
      <c r="AF10" s="224">
        <f>IF(ISNUMBER(Datos!L10),Datos!L10,"-")</f>
        <v>59</v>
      </c>
      <c r="AG10" s="333"/>
      <c r="AH10" s="224"/>
      <c r="AI10" s="224"/>
      <c r="AJ10" s="1214"/>
      <c r="AK10" s="333"/>
      <c r="AL10" s="478"/>
      <c r="AM10" s="1214">
        <f>IF(ISNUMBER(Datos!R10),Datos!R10," - ")</f>
        <v>35</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7</v>
      </c>
      <c r="BD10" s="228">
        <f>IF(ISNUMBER(Datos!N10),Datos!N10," - ")</f>
        <v>2</v>
      </c>
      <c r="BE10" s="1214" t="str">
        <f>IF(ISNUMBER(Datos!BW10),Datos!BW10," - ")</f>
        <v xml:space="preserve"> - </v>
      </c>
      <c r="BF10" s="1214" t="str">
        <f>IF(ISNUMBER(Datos!BX10),Datos!BX10," - ")</f>
        <v xml:space="preserve"> - </v>
      </c>
      <c r="BG10" s="242">
        <f>IF(ISNUMBER(Datos!K10/Datos!J10),Datos!K10/Datos!J10," - ")</f>
        <v>0.68421052631578949</v>
      </c>
      <c r="BH10" s="1214">
        <f>IF(ISNUMBER(((Datos!L10/Datos!K10)*11)/factor_trimestre),((Datos!L10/Datos!K10)*11)/factor_trimestre," - ")</f>
        <v>13.615384615384615</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-2.7777777777777776E-2</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489.42234353319009</v>
      </c>
      <c r="CF10" s="228">
        <f ca="1">AVERAGEIFS($AB:$AB,$BW:$BW,BW10,$BX:$BX,BX10)</f>
        <v>489.42234353319009</v>
      </c>
      <c r="CG10" s="1191">
        <v>0.7</v>
      </c>
      <c r="CH10" s="1191">
        <f ca="1">AVERAGEIF($BW:$BW,BW10,$AC:$AC)</f>
        <v>147.9</v>
      </c>
      <c r="CI10" s="228">
        <f ca="1">AVERAGEIFS($AC:$AC,$BW:$BW,BW10,$BX:$BX,BX10)</f>
        <v>147.9</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362</v>
      </c>
      <c r="CR10" s="228">
        <f ca="1">AVERAGEIFS($AF:$AF,$BW:$BW,BW10,$BX:$BX,BX10)</f>
        <v>362</v>
      </c>
      <c r="CS10" s="1191">
        <v>1.3</v>
      </c>
      <c r="CT10" s="1191">
        <v>1.5</v>
      </c>
      <c r="CU10" s="1191">
        <f ca="1">AVERAGEIF($BW:$BW,$BW10,$AH:$AH)</f>
        <v>77.142857142857139</v>
      </c>
      <c r="CV10" s="228">
        <f ca="1">AVERAGEIFS($AH:$AH,$BW:$BW,$BW10,$BX:$BX,$BX10)</f>
        <v>77.142857142857139</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1273.8</v>
      </c>
      <c r="DH10" s="1218">
        <f ca="1">AVERAGEIFS($AM:$AM,$BW:$BW,$BW10,$BX:$BX,$BX10)</f>
        <v>1273.8</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3.2855196502359649</v>
      </c>
      <c r="ER10" s="1218">
        <f ca="1">AVERAGEIFS($BH:$BH,$BW:$BW,$BW10,$BX:$BX,$BX10)</f>
        <v>3.2855196502359649</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489.42234353319009</v>
      </c>
      <c r="CF11" s="228">
        <f ca="1">AVERAGEIFS($AB:$AB,$BW:$BW,BW11,$BX:$BX,BX11)</f>
        <v>489.42234353319009</v>
      </c>
      <c r="CG11" s="1191">
        <v>0.7</v>
      </c>
      <c r="CH11" s="1191">
        <f ca="1">AVERAGEIF($BW:$BW,BW11,$AC:$AC)</f>
        <v>147.9</v>
      </c>
      <c r="CI11" s="228">
        <f ca="1">AVERAGEIFS($AC:$AC,$BW:$BW,BW11,$BX:$BX,BX11)</f>
        <v>147.9</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362</v>
      </c>
      <c r="CR11" s="228">
        <f ca="1">AVERAGEIFS($AF:$AF,$BW:$BW,BW11,$BX:$BX,BX11)</f>
        <v>362</v>
      </c>
      <c r="CS11" s="1191">
        <v>1.3</v>
      </c>
      <c r="CT11" s="1191">
        <v>1.5</v>
      </c>
      <c r="CU11" s="1191">
        <f ca="1">AVERAGEIF($BW:$BW,$BW11,$AH:$AH)</f>
        <v>77.142857142857139</v>
      </c>
      <c r="CV11" s="228">
        <f ca="1">AVERAGEIFS($AH:$AH,$BW:$BW,$BW11,$BX:$BX,$BX11)</f>
        <v>77.142857142857139</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1273.8</v>
      </c>
      <c r="DH11" s="1218">
        <f ca="1">AVERAGEIFS($AM:$AM,$BW:$BW,$BW11,$BX:$BX,$BX11)</f>
        <v>1273.8</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3.2855196502359649</v>
      </c>
      <c r="ER11" s="1218">
        <f ca="1">AVERAGEIFS($BH:$BH,$BW:$BW,$BW11,$BX:$BX,$BX11)</f>
        <v>3.2855196502359649</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6</v>
      </c>
      <c r="B12" s="506" t="s">
        <v>247</v>
      </c>
      <c r="C12" s="7" t="str">
        <f>Datos!A12</f>
        <v xml:space="preserve">Sección Civil y de Inst. TI                      </v>
      </c>
      <c r="D12" s="507"/>
      <c r="E12" s="259">
        <f>IF(ISNUMBER(Datos!AQ12),Datos!AQ12," - ")</f>
        <v>6</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180</v>
      </c>
      <c r="O12" s="333"/>
      <c r="P12" s="333"/>
      <c r="Q12" s="225">
        <f>IF(ISNUMBER(Datos!P12),Datos!P12,0)</f>
        <v>326</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434</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180</v>
      </c>
      <c r="AI12" s="224" t="str">
        <f>IF(ISNUMBER(Datos!CD12),Datos!CD12,"-")</f>
        <v>-</v>
      </c>
      <c r="AJ12" s="1214" t="str">
        <f>IF(ISNUMBER(Datos!EN12),Datos!EN12," - ")</f>
        <v xml:space="preserve"> - </v>
      </c>
      <c r="AK12" s="333"/>
      <c r="AL12" s="478"/>
      <c r="AM12" s="1214">
        <f>IF(ISNUMBER(Datos!R12),Datos!R12," - ")</f>
        <v>4004</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225</v>
      </c>
      <c r="BD12" s="228">
        <f>IF(ISNUMBER(Datos!N12),Datos!N12," - ")</f>
        <v>768</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0.91272727272727272</v>
      </c>
      <c r="BH12" s="1214">
        <f>IF(ISNUMBER(((IF(J_V="SI",Datos!L12/Datos!K12,(Datos!L12+Datos!AB12)/(Datos!K12+Datos!AA12)))*11)/factor_trimestre),((IF(J_V="SI",Datos!L12/Datos!K12,(Datos!L12+Datos!AB12)/(Datos!K12+Datos!AA12)))*11)/factor_trimestre," - ")</f>
        <v>3.693227091633466</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-2.6264591439688716E-2</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489.42234353319009</v>
      </c>
      <c r="CF12" s="228">
        <f ca="1">AVERAGEIFS($AB:$AB,$BW:$BW,BW12,$BX:$BX,BX12)</f>
        <v>489.42234353319009</v>
      </c>
      <c r="CG12" s="1191">
        <v>0.7</v>
      </c>
      <c r="CH12" s="1191">
        <f ca="1">AVERAGEIF($BW:$BW,BW12,$AC:$AC)</f>
        <v>147.9</v>
      </c>
      <c r="CI12" s="228">
        <f ca="1">AVERAGEIFS($AC:$AC,$BW:$BW,BW12,$BX:$BX,BX12)</f>
        <v>147.9</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362</v>
      </c>
      <c r="CR12" s="228">
        <f ca="1">AVERAGEIFS($AF:$AF,$BW:$BW,BW12,$BX:$BX,BX12)</f>
        <v>362</v>
      </c>
      <c r="CS12" s="1191">
        <v>1.3</v>
      </c>
      <c r="CT12" s="1191">
        <v>1.5</v>
      </c>
      <c r="CU12" s="1191">
        <f ca="1">AVERAGEIF($BW:$BW,$BW12,$AH:$AH)</f>
        <v>77.142857142857139</v>
      </c>
      <c r="CV12" s="228">
        <f ca="1">AVERAGEIFS($AH:$AH,$BW:$BW,$BW12,$BX:$BX,$BX12)</f>
        <v>77.142857142857139</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1273.8</v>
      </c>
      <c r="DH12" s="1218">
        <f ca="1">AVERAGEIFS($AM:$AM,$BW:$BW,$BW12,$BX:$BX,$BX12)</f>
        <v>1273.8</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3.2855196502359649</v>
      </c>
      <c r="ER12" s="1218">
        <f ca="1">AVERAGEIFS($BH:$BH,$BW:$BW,$BW12,$BX:$BX,$BX12)</f>
        <v>3.2855196502359649</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6</v>
      </c>
      <c r="F13" s="895">
        <f t="shared" si="1"/>
        <v>53</v>
      </c>
      <c r="G13" s="895">
        <f t="shared" si="1"/>
        <v>53</v>
      </c>
      <c r="H13" s="896">
        <f t="shared" si="1"/>
        <v>0</v>
      </c>
      <c r="I13" s="895">
        <f t="shared" si="1"/>
        <v>0</v>
      </c>
      <c r="J13" s="864">
        <f t="shared" si="1"/>
        <v>0</v>
      </c>
      <c r="K13" s="864">
        <f t="shared" si="1"/>
        <v>0</v>
      </c>
      <c r="L13" s="896">
        <f t="shared" si="1"/>
        <v>0</v>
      </c>
      <c r="M13" s="896">
        <f t="shared" si="1"/>
        <v>0</v>
      </c>
      <c r="N13" s="896">
        <f t="shared" si="1"/>
        <v>180</v>
      </c>
      <c r="O13" s="897">
        <f t="shared" si="1"/>
        <v>0</v>
      </c>
      <c r="P13" s="897">
        <f t="shared" si="1"/>
        <v>0</v>
      </c>
      <c r="Q13" s="896">
        <f t="shared" si="1"/>
        <v>330</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13</v>
      </c>
      <c r="AC13" s="896">
        <f t="shared" si="2"/>
        <v>439</v>
      </c>
      <c r="AD13" s="896">
        <f t="shared" si="2"/>
        <v>0</v>
      </c>
      <c r="AE13" s="896">
        <f t="shared" si="2"/>
        <v>0</v>
      </c>
      <c r="AF13" s="896">
        <f t="shared" si="2"/>
        <v>59</v>
      </c>
      <c r="AG13" s="896">
        <f t="shared" si="2"/>
        <v>0</v>
      </c>
      <c r="AH13" s="896">
        <f t="shared" si="2"/>
        <v>180</v>
      </c>
      <c r="AI13" s="896">
        <f t="shared" si="2"/>
        <v>0</v>
      </c>
      <c r="AJ13" s="896">
        <f t="shared" si="2"/>
        <v>0</v>
      </c>
      <c r="AK13" s="896">
        <f t="shared" si="2"/>
        <v>0</v>
      </c>
      <c r="AL13" s="896">
        <f t="shared" si="2"/>
        <v>0</v>
      </c>
      <c r="AM13" s="896">
        <f t="shared" si="2"/>
        <v>4039</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232</v>
      </c>
      <c r="BD13" s="896">
        <f t="shared" si="2"/>
        <v>770</v>
      </c>
      <c r="BE13" s="896">
        <f t="shared" si="2"/>
        <v>0</v>
      </c>
      <c r="BF13" s="896">
        <f t="shared" si="2"/>
        <v>0</v>
      </c>
      <c r="BG13" s="896">
        <f>IF(ISNUMBER(Datos!K13/Datos!J13),Datos!K13/Datos!J13," - ")</f>
        <v>0.94563426688632624</v>
      </c>
      <c r="BH13" s="900">
        <f>IF(ISNUMBER(((Datos!L13/Datos!K13)*11)/factor_trimestre),((Datos!L13/Datos!K13)*11)/factor_trimestre," - ")</f>
        <v>3.7212543554006974</v>
      </c>
      <c r="BI13" s="896">
        <f>IF(ISNUMBER('Resol  Asuntos'!D13/NºAsuntos!G13),'Resol  Asuntos'!D13/NºAsuntos!G13," - ")</f>
        <v>0.18296529968454259</v>
      </c>
      <c r="BJ13" s="896" t="str">
        <f>IF(ISNUMBER(Datos!CI13/Datos!CJ13),Datos!CI13/Datos!CJ13," - ")</f>
        <v xml:space="preserve"> - </v>
      </c>
      <c r="BK13" s="896">
        <f>SUBTOTAL(9,BK8:BK12)</f>
        <v>0</v>
      </c>
      <c r="BL13" s="896">
        <f>IF(ISNUMBER((I13-AB13+L13)/(F13)),(I13-AB13+L13)/(F13)," - ")</f>
        <v>-0.24528301886792453</v>
      </c>
      <c r="BM13" s="901">
        <f>SUBTOTAL(9,BM9:BM12)</f>
        <v>-5.4042369217466496E-2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489.42234353319009</v>
      </c>
      <c r="CF15" s="228">
        <f ca="1">AVERAGEIFS($AB:$AB,$BW:$BW,BW15,$BX:$BX,BX15)</f>
        <v>489.42234353319009</v>
      </c>
      <c r="CG15" s="1191">
        <v>0.7</v>
      </c>
      <c r="CH15" s="1191">
        <f ca="1">AVERAGEIF($BW:$BW,BW15,$AC:$AC)</f>
        <v>147.9</v>
      </c>
      <c r="CI15" s="228">
        <f ca="1">AVERAGEIFS($AC:$AC,$BW:$BW,BW15,$BX:$BX,BX15)</f>
        <v>147.9</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362</v>
      </c>
      <c r="CR15" s="228">
        <f ca="1">AVERAGEIFS($AF:$AF,$BW:$BW,BW15,$BX:$BX,BX15)</f>
        <v>362</v>
      </c>
      <c r="CS15" s="1191">
        <v>1.3</v>
      </c>
      <c r="CT15" s="1191">
        <v>1.5</v>
      </c>
      <c r="CU15" s="1191">
        <f ca="1">AVERAGEIF($BW:$BW,$BW15,$AH:$AH)</f>
        <v>77.142857142857139</v>
      </c>
      <c r="CV15" s="228">
        <f ca="1">AVERAGEIFS($AH:$AH,$BW:$BW,$BW15,$BX:$BX,$BX15)</f>
        <v>77.142857142857139</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1273.8</v>
      </c>
      <c r="DH15" s="1218">
        <f ca="1">AVERAGEIFS($AM:$AM,$BW:$BW,$BW15,$BX:$BX,$BX15)</f>
        <v>1273.8</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3.2855196502359649</v>
      </c>
      <c r="ER15" s="1218">
        <f ca="1">AVERAGEIFS($BH:$BH,$BW:$BW,$BW15,$BX:$BX,$BX15)</f>
        <v>3.2855196502359649</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489.42234353319009</v>
      </c>
      <c r="CF16" s="1218">
        <f ca="1">AVERAGEIFS($AB:$AB,$BW:$BW,BW16,$BX:$BX,BX16)</f>
        <v>489.42234353319009</v>
      </c>
      <c r="CG16" s="1191">
        <v>0.7</v>
      </c>
      <c r="CH16" s="1191">
        <f ca="1">AVERAGEIF($BW:$BW,BW16,$AC:$AC)</f>
        <v>147.9</v>
      </c>
      <c r="CI16" s="1218">
        <f ca="1">AVERAGEIFS($AC:$AC,$BW:$BW,BW16,$BX:$BX,BX16)</f>
        <v>147.9</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362</v>
      </c>
      <c r="CR16" s="1218">
        <f ca="1">AVERAGEIFS($AF:$AF,$BW:$BW,BW16,$BX:$BX,BX16)</f>
        <v>362</v>
      </c>
      <c r="CS16" s="1191">
        <v>1.3</v>
      </c>
      <c r="CT16" s="1191">
        <v>1.5</v>
      </c>
      <c r="CU16" s="1191">
        <f ca="1">AVERAGEIF($BW:$BW,$BW16,$AH:$AH)</f>
        <v>77.142857142857139</v>
      </c>
      <c r="CV16" s="1218">
        <f ca="1">AVERAGEIFS($AH:$AH,$BW:$BW,$BW16,$BX:$BX,$BX16)</f>
        <v>77.142857142857139</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1273.8</v>
      </c>
      <c r="DH16" s="1218">
        <f ca="1">AVERAGEIFS($AM:$AM,$BW:$BW,$BW16,$BX:$BX,$BX16)</f>
        <v>1273.8</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3.2855196502359649</v>
      </c>
      <c r="ER16" s="1218">
        <f ca="1">AVERAGEIFS($BH:$BH,$BW:$BW,$BW16,$BX:$BX,$BX16)</f>
        <v>3.2855196502359649</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6</v>
      </c>
      <c r="B17" s="593" t="s">
        <v>397</v>
      </c>
      <c r="C17" s="598" t="str">
        <f>Datos!A17</f>
        <v xml:space="preserve">Sección Civil y de Inst. TI                      </v>
      </c>
      <c r="D17" s="599"/>
      <c r="E17" s="1160">
        <f>IF(ISNUMBER(Datos!AQ17),Datos!AQ17," - ")</f>
        <v>6</v>
      </c>
      <c r="F17" s="594">
        <f>IF(ISNUMBER(AF17+AB17-Datos!J17-L17),AF17+AB17-Datos!J17-L17," - ")</f>
        <v>983</v>
      </c>
      <c r="G17" s="596">
        <f>IF(ISNUMBER(IF(D_I="SI",Datos!I17,Datos!I17+Datos!AC17)),IF(D_I="SI",Datos!I17,Datos!I17+Datos!AC17)," - ")</f>
        <v>982</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54</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1269</v>
      </c>
      <c r="AC17" s="224">
        <f>IF(ISNUMBER(Datos!Q17),Datos!Q17," - ")</f>
        <v>50</v>
      </c>
      <c r="AD17" s="224"/>
      <c r="AE17" s="224"/>
      <c r="AF17" s="224">
        <f>IF(ISNUMBER(IF(D_I="SI",Datos!L17,Datos!L17+Datos!AF17)),IF(D_I="SI",Datos!L17,Datos!L17+Datos!AF17)," - ")</f>
        <v>893</v>
      </c>
      <c r="AG17" s="333"/>
      <c r="AH17" s="224"/>
      <c r="AI17" s="224"/>
      <c r="AJ17" s="1214"/>
      <c r="AK17" s="333"/>
      <c r="AL17" s="478"/>
      <c r="AM17" s="1214">
        <f>IF(ISNUMBER(Datos!R17),Datos!R17," - ")</f>
        <v>194</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145</v>
      </c>
      <c r="BD17" s="228">
        <f>IF(ISNUMBER(Datos!N17),Datos!N17," - ")</f>
        <v>885</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1.0763358778625953</v>
      </c>
      <c r="BH17" s="1214">
        <f>IF(ISNUMBER(((IF(D_I="SI",Datos!L17/Datos!K17,(Datos!L17+Datos!AF17)/(Datos!K17+Datos!AE17)))*11)/factor_trimestre),((IF(D_I="SI",Datos!L17/Datos!K17,(Datos!L17+Datos!AF17)/(Datos!K17+Datos!AE17)))*11)/factor_trimestre," - ")</f>
        <v>2.1111111111111112</v>
      </c>
      <c r="BI17" s="242">
        <f>IF(ISNUMBER('Resol  Asuntos'!D17/NºAsuntos!G17),'Resol  Asuntos'!D17/NºAsuntos!G17," - ")</f>
        <v>0.11426319936958235</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489.42234353319009</v>
      </c>
      <c r="CF17" s="228">
        <f ca="1">AVERAGEIFS($AB:$AB,$BW:$BW,BW17,$BX:$BX,BX17)</f>
        <v>489.42234353319009</v>
      </c>
      <c r="CG17" s="1191">
        <v>0.7</v>
      </c>
      <c r="CH17" s="1191">
        <f ca="1">AVERAGEIF($BW:$BW,BW17,$AC:$AC)</f>
        <v>147.9</v>
      </c>
      <c r="CI17" s="228">
        <f ca="1">AVERAGEIFS($AC:$AC,$BW:$BW,BW17,$BX:$BX,BX17)</f>
        <v>147.9</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362</v>
      </c>
      <c r="CR17" s="228">
        <f ca="1">AVERAGEIFS($AF:$AF,$BW:$BW,BW17,$BX:$BX,BX17)</f>
        <v>362</v>
      </c>
      <c r="CS17" s="1191">
        <v>1.3</v>
      </c>
      <c r="CT17" s="1191">
        <v>1.5</v>
      </c>
      <c r="CU17" s="1191">
        <f ca="1">AVERAGEIF($BW:$BW,$BW17,$AH:$AH)</f>
        <v>77.142857142857139</v>
      </c>
      <c r="CV17" s="228">
        <f ca="1">AVERAGEIFS($AH:$AH,$BW:$BW,$BW17,$BX:$BX,$BX17)</f>
        <v>77.142857142857139</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1273.8</v>
      </c>
      <c r="DH17" s="1218">
        <f ca="1">AVERAGEIFS($AM:$AM,$BW:$BW,$BW17,$BX:$BX,$BX17)</f>
        <v>1273.8</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3.2855196502359649</v>
      </c>
      <c r="ER17" s="1218">
        <f ca="1">AVERAGEIFS($BH:$BH,$BW:$BW,$BW17,$BX:$BX,$BX17)</f>
        <v>3.2855196502359649</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56</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4</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115</v>
      </c>
      <c r="AC18" s="224">
        <f>IF(ISNUMBER(Datos!Q18),Datos!Q18," - ")</f>
        <v>4</v>
      </c>
      <c r="AD18" s="224"/>
      <c r="AE18" s="224"/>
      <c r="AF18" s="224">
        <f>IF(ISNUMBER(Datos!L18),Datos!L18,"-")</f>
        <v>134</v>
      </c>
      <c r="AG18" s="333"/>
      <c r="AH18" s="224"/>
      <c r="AI18" s="224"/>
      <c r="AJ18" s="1214"/>
      <c r="AK18" s="333"/>
      <c r="AL18" s="478"/>
      <c r="AM18" s="1214">
        <f>IF(ISNUMBER(Datos!R18),Datos!R18," - ")</f>
        <v>13</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28</v>
      </c>
      <c r="BD18" s="228">
        <f>IF(ISNUMBER(Datos!N18),Datos!N18," - ")</f>
        <v>84</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0.90551181102362199</v>
      </c>
      <c r="BH18" s="1214">
        <f>IF(ISNUMBER(((IF(D_I="SI",Datos!L18/Datos!K18,(Datos!L18+Datos!AF18)/(Datos!K18+Datos!AE18)))*11)/factor_trimestre),((IF(D_I="SI",Datos!L18/Datos!K18,(Datos!L18+Datos!AF18)/(Datos!K18+Datos!AE18)))*11)/factor_trimestre," - ")</f>
        <v>3.4956521739130437</v>
      </c>
      <c r="BI18" s="242">
        <f>IF(ISNUMBER('Resol  Asuntos'!D18/NºAsuntos!G18),'Resol  Asuntos'!D18/NºAsuntos!G18," - ")</f>
        <v>0.24347826086956523</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489.42234353319009</v>
      </c>
      <c r="CF18" s="228">
        <f ca="1">AVERAGEIFS($AB:$AB,$BW:$BW,BW18,$BX:$BX,BX18)</f>
        <v>489.42234353319009</v>
      </c>
      <c r="CG18" s="1191">
        <v>0.7</v>
      </c>
      <c r="CH18" s="1191">
        <f ca="1">AVERAGEIF($BW:$BW,BW18,$AC:$AC)</f>
        <v>147.9</v>
      </c>
      <c r="CI18" s="228">
        <f ca="1">AVERAGEIFS($AC:$AC,$BW:$BW,BW18,$BX:$BX,BX18)</f>
        <v>147.9</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362</v>
      </c>
      <c r="CR18" s="228">
        <f ca="1">AVERAGEIFS($AF:$AF,$BW:$BW,BW18,$BX:$BX,BX18)</f>
        <v>362</v>
      </c>
      <c r="CS18" s="1191">
        <v>1.3</v>
      </c>
      <c r="CT18" s="1191">
        <v>1.5</v>
      </c>
      <c r="CU18" s="1191">
        <f ca="1">AVERAGEIF($BW:$BW,$BW18,$AH:$AH)</f>
        <v>77.142857142857139</v>
      </c>
      <c r="CV18" s="228">
        <f ca="1">AVERAGEIFS($AH:$AH,$BW:$BW,$BW18,$BX:$BX,$BX18)</f>
        <v>77.142857142857139</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1273.8</v>
      </c>
      <c r="DH18" s="1218">
        <f ca="1">AVERAGEIFS($AM:$AM,$BW:$BW,$BW18,$BX:$BX,$BX18)</f>
        <v>1273.8</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3.2855196502359649</v>
      </c>
      <c r="ER18" s="1218">
        <f ca="1">AVERAGEIFS($BH:$BH,$BW:$BW,$BW18,$BX:$BX,$BX18)</f>
        <v>3.2855196502359649</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6</v>
      </c>
      <c r="F19" s="895">
        <f>SUBTOTAL(9,F15:F18)</f>
        <v>983</v>
      </c>
      <c r="G19" s="895">
        <f>SUBTOTAL(9,G15:G18)</f>
        <v>1038</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58</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1384</v>
      </c>
      <c r="AC19" s="896">
        <f t="shared" si="5"/>
        <v>54</v>
      </c>
      <c r="AD19" s="896">
        <f t="shared" si="5"/>
        <v>0</v>
      </c>
      <c r="AE19" s="896">
        <f t="shared" si="5"/>
        <v>0</v>
      </c>
      <c r="AF19" s="896">
        <f t="shared" si="5"/>
        <v>1027</v>
      </c>
      <c r="AG19" s="896">
        <f t="shared" si="5"/>
        <v>0</v>
      </c>
      <c r="AH19" s="896">
        <f t="shared" si="5"/>
        <v>0</v>
      </c>
      <c r="AI19" s="896">
        <f t="shared" si="5"/>
        <v>0</v>
      </c>
      <c r="AJ19" s="896">
        <f t="shared" si="5"/>
        <v>0</v>
      </c>
      <c r="AK19" s="896">
        <f t="shared" si="5"/>
        <v>0</v>
      </c>
      <c r="AL19" s="896">
        <f t="shared" si="5"/>
        <v>0</v>
      </c>
      <c r="AM19" s="896">
        <f t="shared" si="5"/>
        <v>207</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173</v>
      </c>
      <c r="BD19" s="896">
        <f t="shared" si="5"/>
        <v>969</v>
      </c>
      <c r="BE19" s="896">
        <f t="shared" si="5"/>
        <v>0</v>
      </c>
      <c r="BF19" s="896">
        <f t="shared" si="5"/>
        <v>0</v>
      </c>
      <c r="BG19" s="896">
        <f>IF(ISNUMBER(Datos!K19/Datos!J19),Datos!K19/Datos!J19," - ")</f>
        <v>1.0597243491577335</v>
      </c>
      <c r="BH19" s="900">
        <f>IF(ISNUMBER(((Datos!L19/Datos!K19)*11)/factor_trimestre),((Datos!L19/Datos!K19)*11)/factor_trimestre," - ")</f>
        <v>2.2261560693641615</v>
      </c>
      <c r="BI19" s="896">
        <f>SUBTOTAL(9,BI15:BI18)</f>
        <v>0.35774146023914755</v>
      </c>
      <c r="BJ19" s="896">
        <f>SUBTOTAL(9,BJ15:BJ18)</f>
        <v>0</v>
      </c>
      <c r="BK19" s="896">
        <f>SUBTOTAL(9,BK15:BK18)</f>
        <v>0</v>
      </c>
      <c r="BL19" s="896">
        <f>IF(ISNUMBER((I19-AB19+L19)/(F19)),(I19-AB19+L19)/(F19)," - ")</f>
        <v>-1.4079348931841302</v>
      </c>
      <c r="BM19" s="902">
        <f>IF(ISNUMBER((Datos!P19-Datos!Q19)/(Datos!R19-Datos!P19+Datos!Q19)),(Datos!P19-Datos!Q19)/(Datos!R19-Datos!P19+Datos!Q19)," - ")</f>
        <v>1.9704433497536946E-2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12</v>
      </c>
      <c r="F20" s="817">
        <f t="shared" si="7"/>
        <v>1036</v>
      </c>
      <c r="G20" s="817">
        <f t="shared" si="7"/>
        <v>1091</v>
      </c>
      <c r="H20" s="819">
        <f t="shared" si="7"/>
        <v>0</v>
      </c>
      <c r="I20" s="817">
        <f t="shared" si="7"/>
        <v>0</v>
      </c>
      <c r="J20" s="819">
        <f t="shared" si="7"/>
        <v>0</v>
      </c>
      <c r="K20" s="819">
        <f t="shared" si="7"/>
        <v>0</v>
      </c>
      <c r="L20" s="878">
        <f t="shared" si="7"/>
        <v>0</v>
      </c>
      <c r="M20" s="878">
        <f t="shared" si="7"/>
        <v>0</v>
      </c>
      <c r="N20" s="878">
        <f t="shared" si="7"/>
        <v>180</v>
      </c>
      <c r="O20" s="878">
        <f t="shared" si="7"/>
        <v>0</v>
      </c>
      <c r="P20" s="878">
        <f t="shared" si="7"/>
        <v>0</v>
      </c>
      <c r="Q20" s="819">
        <f t="shared" si="7"/>
        <v>388</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1397</v>
      </c>
      <c r="AC20" s="818">
        <f t="shared" si="8"/>
        <v>493</v>
      </c>
      <c r="AD20" s="818">
        <f t="shared" si="8"/>
        <v>0</v>
      </c>
      <c r="AE20" s="818">
        <f t="shared" si="8"/>
        <v>0</v>
      </c>
      <c r="AF20" s="825">
        <f t="shared" si="8"/>
        <v>1086</v>
      </c>
      <c r="AG20" s="825">
        <f t="shared" si="8"/>
        <v>0</v>
      </c>
      <c r="AH20" s="825">
        <f t="shared" si="8"/>
        <v>180</v>
      </c>
      <c r="AI20" s="825">
        <f t="shared" si="8"/>
        <v>0</v>
      </c>
      <c r="AJ20" s="818">
        <f t="shared" si="8"/>
        <v>0</v>
      </c>
      <c r="AK20" s="825">
        <f t="shared" si="8"/>
        <v>0</v>
      </c>
      <c r="AL20" s="825">
        <f t="shared" si="8"/>
        <v>0</v>
      </c>
      <c r="AM20" s="825">
        <f t="shared" si="8"/>
        <v>4246</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405</v>
      </c>
      <c r="BD20" s="817">
        <f t="shared" si="8"/>
        <v>1739</v>
      </c>
      <c r="BE20" s="817">
        <f t="shared" si="8"/>
        <v>0</v>
      </c>
      <c r="BF20" s="827">
        <f t="shared" si="8"/>
        <v>0</v>
      </c>
      <c r="BG20" s="912">
        <f>IF(ISNUMBER(Datos!K20/Datos!J20),Datos!K20/Datos!J20," - ")</f>
        <v>1.0047619047619047</v>
      </c>
      <c r="BH20" s="912">
        <f>IF(ISNUMBER(((Datos!L20/Datos!K20)*11)/factor_trimestre),((Datos!L20/Datos!K20)*11)/factor_trimestre," - ")</f>
        <v>2.9040284360189577</v>
      </c>
      <c r="BI20" s="810">
        <f>IF(ISNUMBER(Datos!J20/Datos!I20),Datos!J20/Datos!I20," - ")</f>
        <v>1.0557184750733137</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-1.3484555984555984</v>
      </c>
      <c r="BM20" s="886">
        <f>IF(ISNUMBER((Datos!P20-Datos!Q20+R20)/(Datos!R20-Datos!P20+Datos!Q20-R20)),(Datos!P20-Datos!Q20+R20)/(Datos!R20-Datos!P20+Datos!Q20-R20)," - ")</f>
        <v>-2.4132383360147093E-2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436.4</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3.0983866769659336</v>
      </c>
      <c r="F22" s="550">
        <f>IF(ISNUMBER(STDEV(F8:F19)),STDEV(F8:F19),"-")</f>
        <v>536.93575034635194</v>
      </c>
      <c r="G22" s="551">
        <f>IF(ISNUMBER(STDEV(G8:G19)),STDEV(G8:G19),"-")</f>
        <v>523.99837786008459</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703.22343533190076</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96.835943739915095</v>
      </c>
      <c r="BD22" s="550"/>
      <c r="BE22" s="550">
        <f>IF(ISNUMBER(STDEV(BE8:BE19)),STDEV(BE8:BE19),"-")</f>
        <v>0</v>
      </c>
      <c r="BF22" s="555">
        <f>IF(ISNUMBER(STDEV(BF8:BF19)),STDEV(BF8:BF19),"-")</f>
        <v>0</v>
      </c>
      <c r="BG22" s="772">
        <f>IF(ISNUMBER(STDEV(BG8:BG19)),STDEV(BG8:BG19),"-")</f>
        <v>0.1412760757026747</v>
      </c>
      <c r="BH22" s="773">
        <f>IF(ISNUMBER(STDEV(BH8:BH19)),STDEV(BH8:BH19),"-")</f>
        <v>4.373902299769564</v>
      </c>
      <c r="BI22" s="248">
        <f>IF(ISNUMBER(STDEV(BI8:BI19)),STDEV(BI8:BI19),"-")</f>
        <v>0.10326453800876384</v>
      </c>
      <c r="BJ22" s="1415" t="str">
        <f>IF(ISNUMBER(BL22/BM22),BL22/BM22," - ")</f>
        <v xml:space="preserve"> - </v>
      </c>
      <c r="BK22" s="574"/>
      <c r="BL22" s="558">
        <f>IF(ISNUMBER(STDEV(BL8:BL19)),STDEV(BL8:BL19),"-")</f>
        <v>0.82211902448823859</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tWMKXsXRRoalBHwAxw4Ps0VIda7+gxNaPaHCIdJf3/7JH+HMK40KpkfX50oZkxkPkrr/ag4yawM5rE1YxD46gw==" saltValue="BTkEQYoNrzuu+wuJWEHmA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ANDALUCIA</v>
      </c>
    </row>
    <row r="2" spans="1:146" ht="16.5" customHeight="1">
      <c r="C2" s="487" t="str">
        <f>Criterios!A10 &amp;"  "&amp;Criterios!B10 &amp; "  " &amp; IF(NOT(ISBLANK(Criterios!A11)),Criterios!A11 &amp;"  "&amp;Criterios!B11,"")</f>
        <v>Provincias  CADIZ  Resumenes por Partidos Judiciales  CEUTA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0.18296529968454259</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0.12937600412876893</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K8mmLEK9vxd3IAMnOUb3RxazGgonipfgYoVEphPOcdV2O8jq4gUZuE8iCaCFNq+ql+dl9OUNwKC/WFGCDAf9Tg==" saltValue="C66bls1S6Hf0g7JWURzO6w=="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ANDALUCIA</v>
      </c>
      <c r="B4" s="1461" t="str">
        <f>IF(Criterios!B10=0,"",Criterios!B10)</f>
        <v>CADIZ</v>
      </c>
      <c r="C4" s="1461" t="str">
        <f>IF(Criterios!B11=0,"",Criterios!B11)</f>
        <v>CEUTA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hyEEE6SoQK2lY37NgcZYr/c6ircAvXONGn9UBtcxgZwJwgbqmxkP0Zs5kYCMyHChrpHma+MyjarpSHKHHdXJSg==" saltValue="iFyGV4NaN0C+4aG6PmlIqA=="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ANDALUCIA</v>
      </c>
      <c r="C2" s="374"/>
      <c r="E2" s="374"/>
      <c r="F2" s="374"/>
      <c r="G2" s="374"/>
      <c r="H2" s="374"/>
    </row>
    <row r="3" spans="1:16" ht="39">
      <c r="A3" s="414" t="s">
        <v>219</v>
      </c>
      <c r="B3" s="390" t="str">
        <f>Criterios!A10 &amp;"  "&amp;Criterios!B10</f>
        <v>Provincias  CADIZ</v>
      </c>
      <c r="C3" s="414"/>
      <c r="F3" s="374"/>
      <c r="G3" s="374"/>
      <c r="H3" s="374"/>
    </row>
    <row r="4" spans="1:16" ht="13.5" thickBot="1">
      <c r="A4" s="374"/>
      <c r="B4" s="390" t="str">
        <f>Criterios!A11 &amp;"  "&amp;Criterios!B11</f>
        <v>Resumenes por Partidos Judiciales  CEUTA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6</v>
      </c>
      <c r="D12" s="402">
        <f>Datos!BK12</f>
        <v>0</v>
      </c>
      <c r="E12" s="402">
        <f>Datos!AQ12</f>
        <v>6</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6</v>
      </c>
      <c r="D17" s="402">
        <f>Datos!BK17</f>
        <v>0</v>
      </c>
      <c r="E17" s="402">
        <f>Datos!AQ17</f>
        <v>6</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vkchHHzloaFAfx+aOMo4n9V8ehc0UwBV3/A3t+qaGKIQQkmyY2Ox7pn6bXqxbpkJCNdxcshR5qAFIghcEnGc9Q==" saltValue="DUKFPXRYsDOpraPbrDUrEQ=="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ANDALUCIA</v>
      </c>
      <c r="C2" s="390"/>
    </row>
    <row r="3" spans="1:78" ht="19.5">
      <c r="A3" s="424" t="s">
        <v>11</v>
      </c>
      <c r="B3" s="390" t="str">
        <f>Criterios!A10 &amp;"  "&amp;Criterios!B10</f>
        <v>Provincias  CADIZ</v>
      </c>
      <c r="C3" s="390"/>
      <c r="D3" s="424"/>
      <c r="BZ3" s="470"/>
    </row>
    <row r="4" spans="1:78" ht="13.5" thickBot="1">
      <c r="B4" s="390" t="str">
        <f>Criterios!A11 &amp;"  "&amp;Criterios!B11</f>
        <v>Resumenes por Partidos Judiciales  CEUTA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7</v>
      </c>
      <c r="E10" s="403">
        <f>IF(ISNUMBER(D10/B10),D10/B10," - ")</f>
        <v>7</v>
      </c>
      <c r="F10" s="402">
        <f>IF(ISNUMBER(Datos!N10),Datos!N10," - ")</f>
        <v>2</v>
      </c>
      <c r="G10" s="403">
        <f>IF(ISNUMBER(F10/B10),F10/B10," - ")</f>
        <v>2</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6</v>
      </c>
      <c r="C12" s="409">
        <f>Datos!AQ12</f>
        <v>6</v>
      </c>
      <c r="D12" s="402">
        <f>IF(ISNUMBER(Datos!M12),Datos!M12," - ")</f>
        <v>225</v>
      </c>
      <c r="E12" s="403">
        <f t="shared" si="0"/>
        <v>37.5</v>
      </c>
      <c r="F12" s="402">
        <f>IF(ISNUMBER(Datos!N12),Datos!N12," - ")</f>
        <v>768</v>
      </c>
      <c r="G12" s="403">
        <f t="shared" si="1"/>
        <v>128</v>
      </c>
      <c r="H12" s="402">
        <f>IF(ISNUMBER(Datos!O12),Datos!O12," - ")</f>
        <v>451</v>
      </c>
      <c r="I12" s="403">
        <f t="shared" si="2"/>
        <v>75.166666666666671</v>
      </c>
      <c r="BZ12" s="1181">
        <f>Datos!EZ12</f>
        <v>0</v>
      </c>
    </row>
    <row r="13" spans="1:78" ht="14.25" thickTop="1" thickBot="1">
      <c r="A13" s="845" t="str">
        <f>Datos!A13</f>
        <v>TOTAL</v>
      </c>
      <c r="B13" s="846">
        <f>Datos!AP13</f>
        <v>6</v>
      </c>
      <c r="C13" s="848">
        <f>Datos!AR13</f>
        <v>6</v>
      </c>
      <c r="D13" s="846">
        <f>SUBTOTAL(9,D9:D12)</f>
        <v>232</v>
      </c>
      <c r="E13" s="847">
        <f t="shared" si="0"/>
        <v>38.666666666666664</v>
      </c>
      <c r="F13" s="846">
        <f>SUBTOTAL(9,F9:F12)</f>
        <v>770</v>
      </c>
      <c r="G13" s="847">
        <f t="shared" si="1"/>
        <v>128.33333333333334</v>
      </c>
      <c r="H13" s="846">
        <f>SUBTOTAL(9,H9:H12)</f>
        <v>451</v>
      </c>
      <c r="I13" s="847">
        <f>IF(ISNUMBER(H13/B13),H13/B13," - ")</f>
        <v>75.166666666666671</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6</v>
      </c>
      <c r="C17" s="427">
        <f>Datos!AQ17</f>
        <v>6</v>
      </c>
      <c r="D17" s="402">
        <f>IF(ISNUMBER(Datos!M17),Datos!M17," - ")</f>
        <v>145</v>
      </c>
      <c r="E17" s="403">
        <f t="shared" si="3"/>
        <v>24.166666666666668</v>
      </c>
      <c r="F17" s="402">
        <f>IF(ISNUMBER(Datos!N17),Datos!N17," - ")</f>
        <v>885</v>
      </c>
      <c r="G17" s="403">
        <f t="shared" si="4"/>
        <v>147.5</v>
      </c>
      <c r="H17" s="402">
        <f>IF(ISNUMBER(Datos!O17),Datos!O17," - ")</f>
        <v>9</v>
      </c>
      <c r="I17" s="403">
        <f t="shared" si="5"/>
        <v>1.5</v>
      </c>
      <c r="BZ17" s="1181">
        <f>Datos!EZ17</f>
        <v>0</v>
      </c>
    </row>
    <row r="18" spans="1:78" ht="13.5" thickBot="1">
      <c r="A18" s="401" t="str">
        <f>Datos!A18</f>
        <v>Sección De Violencia sobre la Mujer del TI</v>
      </c>
      <c r="B18" s="426">
        <f>Datos!AO18</f>
        <v>1</v>
      </c>
      <c r="C18" s="427">
        <f>Datos!AQ18</f>
        <v>0</v>
      </c>
      <c r="D18" s="402">
        <f>IF(ISNUMBER(Datos!M18),Datos!M18," - ")</f>
        <v>28</v>
      </c>
      <c r="E18" s="403">
        <f>IF(ISNUMBER(D18/B18),D18/B18," - ")</f>
        <v>28</v>
      </c>
      <c r="F18" s="402">
        <f>IF(ISNUMBER(Datos!N18),Datos!N18," - ")</f>
        <v>84</v>
      </c>
      <c r="G18" s="403">
        <f>IF(ISNUMBER(F18/B18),F18/B18," - ")</f>
        <v>84</v>
      </c>
      <c r="H18" s="402">
        <f>IF(ISNUMBER(Datos!O18),Datos!O18," - ")</f>
        <v>0</v>
      </c>
      <c r="I18" s="403">
        <f t="shared" si="5"/>
        <v>0</v>
      </c>
      <c r="BZ18" s="1181">
        <f>Datos!EZ18</f>
        <v>0</v>
      </c>
    </row>
    <row r="19" spans="1:78" ht="14.25" thickTop="1" thickBot="1">
      <c r="A19" s="845" t="str">
        <f>Datos!A19</f>
        <v>TOTAL</v>
      </c>
      <c r="B19" s="846">
        <f>Datos!AP19</f>
        <v>6</v>
      </c>
      <c r="C19" s="848">
        <f>Datos!AR19</f>
        <v>6</v>
      </c>
      <c r="D19" s="846">
        <f>SUBTOTAL(9,D15:D18)</f>
        <v>173</v>
      </c>
      <c r="E19" s="847">
        <f t="shared" si="3"/>
        <v>28.833333333333332</v>
      </c>
      <c r="F19" s="846">
        <f>SUBTOTAL(9,F15:F18)</f>
        <v>969</v>
      </c>
      <c r="G19" s="847">
        <f t="shared" si="4"/>
        <v>161.5</v>
      </c>
      <c r="H19" s="846">
        <f>SUBTOTAL(9,H15:H18)</f>
        <v>9</v>
      </c>
      <c r="I19" s="847">
        <f>IF(ISNUMBER(H19/B19),H19/B19," - ")</f>
        <v>1.5</v>
      </c>
      <c r="BZ19" s="1181"/>
    </row>
    <row r="20" spans="1:78" ht="14.25" thickTop="1" thickBot="1">
      <c r="A20" s="790" t="str">
        <f>Datos!A20</f>
        <v>TOTAL JURISDICCIONES</v>
      </c>
      <c r="B20" s="791">
        <f>Datos!AP20</f>
        <v>6</v>
      </c>
      <c r="C20" s="791">
        <f>Datos!AR20</f>
        <v>6</v>
      </c>
      <c r="D20" s="791">
        <f>SUBTOTAL(9,D8:D19)</f>
        <v>405</v>
      </c>
      <c r="E20" s="792">
        <f>IF(ISNUMBER(D20/B20),D20/B20," - ")</f>
        <v>67.5</v>
      </c>
      <c r="F20" s="791">
        <f>SUBTOTAL(9,F8:F19)</f>
        <v>1739</v>
      </c>
      <c r="G20" s="792">
        <f>IF(ISNUMBER(F20/B20),F20/B20," - ")</f>
        <v>289.83333333333331</v>
      </c>
      <c r="H20" s="791">
        <f>SUBTOTAL(9,H8:H19)</f>
        <v>460</v>
      </c>
      <c r="I20" s="792">
        <f>IF(ISNUMBER(H20/B20),H20/B20," - ")</f>
        <v>76.666666666666671</v>
      </c>
    </row>
    <row r="23" spans="1:78">
      <c r="A23" s="390" t="str">
        <f>Criterios!A4</f>
        <v>Fecha Informe: 18 jun. 2026</v>
      </c>
    </row>
    <row r="28" spans="1:78">
      <c r="A28" s="413"/>
    </row>
  </sheetData>
  <sheetProtection algorithmName="SHA-512" hashValue="pmZ1MhaZ6P6SS1fvZKXE3qb4c4LWJ26dcZL2/HoqEQR4D3/YpywMWNi4eSqgRWZDmLVLCnPsYHUYpY7Gn/O+/A==" saltValue="xDX+BWjXwg0ZMmLVMJg1j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ANDALUCIA</v>
      </c>
    </row>
    <row r="3" spans="1:4" ht="19.5">
      <c r="A3" s="428" t="s">
        <v>32</v>
      </c>
      <c r="B3" s="390" t="str">
        <f>Criterios!A10 &amp;"  "&amp;Criterios!B10</f>
        <v>Provincias  CADIZ</v>
      </c>
    </row>
    <row r="4" spans="1:4" ht="13.5" thickBot="1">
      <c r="B4" s="390" t="str">
        <f>Criterios!A11 &amp;"  "&amp;Criterios!B11</f>
        <v>Resumenes por Partidos Judiciales  CEUTA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4</v>
      </c>
      <c r="C10" s="433">
        <f>IF(ISNUMBER(Datos!Q10),Datos!Q10," - ")</f>
        <v>5</v>
      </c>
      <c r="D10" s="407">
        <f>IF(ISNUMBER(Datos!R10),Datos!R10," - ")</f>
        <v>35</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326</v>
      </c>
      <c r="C12" s="433">
        <f>IF(ISNUMBER(Datos!Q12),Datos!Q12," - ")</f>
        <v>434</v>
      </c>
      <c r="D12" s="407">
        <f>IF(ISNUMBER(Datos!R12),Datos!R12," - ")</f>
        <v>4004</v>
      </c>
    </row>
    <row r="13" spans="1:4" ht="14.25" thickTop="1" thickBot="1">
      <c r="A13" s="845" t="str">
        <f>Datos!A13</f>
        <v>TOTAL</v>
      </c>
      <c r="B13" s="846">
        <f>SUBTOTAL(9,B9:B12)</f>
        <v>330</v>
      </c>
      <c r="C13" s="850">
        <f>SUBTOTAL(9,C9:C12)</f>
        <v>439</v>
      </c>
      <c r="D13" s="848">
        <f>SUBTOTAL(9,D9:D12)</f>
        <v>4039</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54</v>
      </c>
      <c r="C17" s="433">
        <f>IF(ISNUMBER(Datos!Q17),Datos!Q17," - ")</f>
        <v>50</v>
      </c>
      <c r="D17" s="407">
        <f>IF(ISNUMBER(Datos!R17),Datos!R17," - ")</f>
        <v>194</v>
      </c>
    </row>
    <row r="18" spans="1:4" ht="13.5" thickBot="1">
      <c r="A18" s="401" t="str">
        <f>Datos!A18</f>
        <v>Sección De Violencia sobre la Mujer del TI</v>
      </c>
      <c r="B18" s="432">
        <f>IF(ISNUMBER(Datos!P18),Datos!P18," - ")</f>
        <v>4</v>
      </c>
      <c r="C18" s="433">
        <f>IF(ISNUMBER(Datos!Q18),Datos!Q18," - ")</f>
        <v>4</v>
      </c>
      <c r="D18" s="407">
        <f>IF(ISNUMBER(Datos!R18),Datos!R18," - ")</f>
        <v>13</v>
      </c>
    </row>
    <row r="19" spans="1:4" ht="14.25" thickTop="1" thickBot="1">
      <c r="A19" s="845" t="str">
        <f>Datos!A19</f>
        <v>TOTAL</v>
      </c>
      <c r="B19" s="846">
        <f>SUBTOTAL(9,B15:B18)</f>
        <v>58</v>
      </c>
      <c r="C19" s="850">
        <f>SUBTOTAL(9,C15:C18)</f>
        <v>54</v>
      </c>
      <c r="D19" s="848">
        <f>SUBTOTAL(9,D15:D18)</f>
        <v>207</v>
      </c>
    </row>
    <row r="20" spans="1:4" ht="16.5" customHeight="1" thickTop="1" thickBot="1">
      <c r="A20" s="790" t="str">
        <f>Datos!A20</f>
        <v>TOTAL JURISDICCIONES</v>
      </c>
      <c r="B20" s="795">
        <f>SUBTOTAL(9,B8:B19)</f>
        <v>388</v>
      </c>
      <c r="C20" s="796">
        <f>SUBTOTAL(9,C8:C19)</f>
        <v>493</v>
      </c>
      <c r="D20" s="797">
        <f>SUBTOTAL(9,D8:D19)</f>
        <v>4246</v>
      </c>
    </row>
    <row r="21" spans="1:4" ht="7.5" customHeight="1"/>
    <row r="22" spans="1:4" ht="6" customHeight="1"/>
    <row r="23" spans="1:4">
      <c r="A23" s="390" t="str">
        <f>Criterios!A4</f>
        <v>Fecha Informe: 18 jun. 2026</v>
      </c>
    </row>
    <row r="28" spans="1:4">
      <c r="A28" s="413"/>
    </row>
  </sheetData>
  <sheetProtection algorithmName="SHA-512" hashValue="FQgP4YCmxBlwErfdaoraV84uT9wQouB/c2yj1z+dp+d2SJG/nPZHVoYyT9K0LUlFRxC6mtvd1Evp7uchWAXinA==" saltValue="TynARJNuGtQwCBds7iUH4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ANDALUCIA</v>
      </c>
    </row>
    <row r="3" spans="1:11" ht="18.75" customHeight="1">
      <c r="A3" s="428" t="s">
        <v>118</v>
      </c>
      <c r="B3" s="390" t="str">
        <f>Criterios!A10 &amp;"  "&amp;Criterios!B10</f>
        <v>Provincias  CADIZ</v>
      </c>
    </row>
    <row r="4" spans="1:11" ht="10.5" customHeight="1" thickBot="1">
      <c r="B4" s="390" t="str">
        <f>Criterios!A11 &amp;"  "&amp;Criterios!B11</f>
        <v>Resumenes por Partidos Judiciales  CEUTA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0.60606060606060608</v>
      </c>
      <c r="C10" s="455">
        <f>IF(ISNUMBER((Datos!J10-Datos!T10)/Datos!T10),(Datos!J10-Datos!T10)/Datos!T10," - ")</f>
        <v>-0.55813953488372092</v>
      </c>
      <c r="D10" s="455">
        <f>IF(ISNUMBER((Datos!K10-Datos!U10)/Datos!U10),(Datos!K10-Datos!U10)/Datos!U10," - ")</f>
        <v>-0.40909090909090912</v>
      </c>
      <c r="E10" s="455">
        <f>IF(ISNUMBER((Datos!L10-Datos!V10)/Datos!V10),(Datos!L10-Datos!V10)/Datos!V10," - ")</f>
        <v>1.7241379310344827E-2</v>
      </c>
      <c r="F10" s="455">
        <f>IF(ISNUMBER((Datos!M10-Datos!W10)/Datos!W10),(Datos!M10-Datos!W10)/Datos!W10," - ")</f>
        <v>-0.61111111111111116</v>
      </c>
      <c r="G10" s="456">
        <f>IF(ISNUMBER((Datos!N10-Datos!X10)/Datos!X10),(Datos!N10-Datos!X10)/Datos!X10," - ")</f>
        <v>-0.6</v>
      </c>
      <c r="H10" s="454">
        <f>IF(ISNUMBER(((NºAsuntos!G10/NºAsuntos!E10)-Datos!BD10)/Datos!BD10),((NºAsuntos!G10/NºAsuntos!E10)-Datos!BD10)/Datos!BD10," - ")</f>
        <v>0.33732057416267941</v>
      </c>
      <c r="I10" s="455">
        <f>IF(ISNUMBER(((NºAsuntos!I10/NºAsuntos!G10)-Datos!BE10)/Datos!BE10),((NºAsuntos!I10/NºAsuntos!G10)-Datos!BE10)/Datos!BE10," - ")</f>
        <v>0.72148541114058362</v>
      </c>
      <c r="J10" s="460">
        <f>IF(ISNUMBER((('Resol  Asuntos'!D10/NºAsuntos!G10)-Datos!BF10)/Datos!BF10),(('Resol  Asuntos'!D10/NºAsuntos!G10)-Datos!BF10)/Datos!BF10," - ")</f>
        <v>-0.34188034188034194</v>
      </c>
      <c r="K10" s="461">
        <f>IF(ISNUMBER((((NºAsuntos!C10+NºAsuntos!E10)/NºAsuntos!G10)-Datos!BG10)/Datos!BG10),(((NºAsuntos!C10+NºAsuntos!E10)/NºAsuntos!G10)-Datos!BG10)/Datos!BG10," - ")</f>
        <v>0.60323886639676105</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-0.23255813953488372</v>
      </c>
      <c r="C12" s="455">
        <f>IF(ISNUMBER(
   IF(J_V="SI",(Datos!J12-Datos!T12)/Datos!T12,(Datos!J12+Datos!Z12-(Datos!T12+Datos!AH12))/(Datos!T12+Datos!AH12))
     ),IF(J_V="SI",(Datos!J12-Datos!T12)/Datos!T12,(Datos!J12+Datos!Z12-(Datos!T12+Datos!AH12))/(Datos!T12+Datos!AH12))," - ")</f>
        <v>-0.38643462739848283</v>
      </c>
      <c r="D12" s="455">
        <f>IF(ISNUMBER(
   IF(J_V="SI",(Datos!K12-Datos!U12)/Datos!U12,(Datos!K12+Datos!AA12-(Datos!U12+Datos!AI12))/(Datos!U12+Datos!AI12))
     ),IF(J_V="SI",(Datos!K12-Datos!U12)/Datos!U12,(Datos!K12+Datos!AA12-(Datos!U12+Datos!AI12))/(Datos!U12+Datos!AI12))," - ")</f>
        <v>-0.15087956698240865</v>
      </c>
      <c r="E12" s="455">
        <f>IF(ISNUMBER(
   IF(J_V="SI",(Datos!L12-Datos!V12)/Datos!V12,(Datos!L12+Datos!AB12-(Datos!V12+Datos!AJ12))/(Datos!V12+Datos!AJ12))
     ),IF(J_V="SI",(Datos!L12-Datos!V12)/Datos!V12,(Datos!L12+Datos!AB12-(Datos!V12+Datos!AJ12))/(Datos!V12+Datos!AJ12))," - ")</f>
        <v>-0.41366223908918404</v>
      </c>
      <c r="F12" s="455">
        <f>IF(ISNUMBER((Datos!M12-Datos!W12)/Datos!W12),(Datos!M12-Datos!W12)/Datos!W12," - ")</f>
        <v>-0.53319502074688796</v>
      </c>
      <c r="G12" s="456">
        <f>IF(ISNUMBER((Datos!N12-Datos!X12)/Datos!X12),(Datos!N12-Datos!X12)/Datos!X12," - ")</f>
        <v>0.39382940108892922</v>
      </c>
      <c r="H12" s="454">
        <f>IF(ISNUMBER(((NºAsuntos!G12/NºAsuntos!E12)-Datos!BD12)/Datos!BD12),((NºAsuntos!G12/NºAsuntos!E12)-Datos!BD12)/Datos!BD12," - ")</f>
        <v>0.38391192028539789</v>
      </c>
      <c r="I12" s="455">
        <f>IF(ISNUMBER(((NºAsuntos!I12/NºAsuntos!G12)-Datos!BE12)/Datos!BE12),((NºAsuntos!I12/NºAsuntos!G12)-Datos!BE12)/Datos!BE12," - ")</f>
        <v>-0.30947632619427418</v>
      </c>
      <c r="J12" s="460">
        <f>IF(ISNUMBER((('Resol  Asuntos'!D12/NºAsuntos!G12)-Datos!BF12)/Datos!BF12),(('Resol  Asuntos'!D12/NºAsuntos!G12)-Datos!BF12)/Datos!BF12," - ")</f>
        <v>-0.51909241437155196</v>
      </c>
      <c r="K12" s="461">
        <f>IF(ISNUMBER((((NºAsuntos!C12+NºAsuntos!E12)/NºAsuntos!G12)-Datos!BG12)/Datos!BG12),(((NºAsuntos!C12+NºAsuntos!E12)/NºAsuntos!G12)-Datos!BG12)/Datos!BG12," - ")</f>
        <v>-0.19654064739313065</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-0.21750951604132682</v>
      </c>
      <c r="C13" s="852">
        <f>IF(ISNUMBER(
   IF(J_V="SI",(Datos!J13-Datos!T13)/Datos!T13,(Datos!J13+Datos!Z13-(Datos!T13+Datos!AH13))/(Datos!T13+Datos!AH13))
     ),IF(J_V="SI",(Datos!J13-Datos!T13)/Datos!T13,(Datos!J13+Datos!Z13-(Datos!T13+Datos!AH13))/(Datos!T13+Datos!AH13))," - ")</f>
        <v>-0.38966725043782835</v>
      </c>
      <c r="D13" s="852">
        <f>IF(ISNUMBER(
   IF(J_V="SI",(Datos!K13-Datos!U13)/Datos!U13,(Datos!K13+Datos!AA13-(Datos!U13+Datos!AI13))/(Datos!U13+Datos!AI13))
     ),IF(J_V="SI",(Datos!K13-Datos!U13)/Datos!U13,(Datos!K13+Datos!AA13-(Datos!U13+Datos!AI13))/(Datos!U13+Datos!AI13))," - ")</f>
        <v>-0.15466666666666667</v>
      </c>
      <c r="E13" s="852">
        <f>IF(ISNUMBER(
   IF(J_V="SI",(Datos!L13-Datos!V13)/Datos!V13,(Datos!L13+Datos!AB13-(Datos!V13+Datos!AJ13))/(Datos!V13+Datos!AJ13))
     ),IF(J_V="SI",(Datos!L13-Datos!V13)/Datos!V13,(Datos!L13+Datos!AB13-(Datos!V13+Datos!AJ13))/(Datos!V13+Datos!AJ13))," - ")</f>
        <v>-0.40438173041217973</v>
      </c>
      <c r="F13" s="853">
        <f>IF(ISNUMBER((Datos!M13-Datos!W13)/Datos!W13),(Datos!M13-Datos!W13)/Datos!W13," - ")</f>
        <v>-0.53600000000000003</v>
      </c>
      <c r="G13" s="854">
        <f>IF(ISNUMBER((Datos!N13-Datos!X13)/Datos!X13),(Datos!N13-Datos!X13)/Datos!X13," - ")</f>
        <v>0.38489208633093525</v>
      </c>
      <c r="H13" s="854">
        <f>IF(ISNUMBER(((NºAsuntos!G13/NºAsuntos!E13)-Datos!BD13)/Datos!BD13),((NºAsuntos!G13/NºAsuntos!E13)-Datos!BD13)/Datos!BD13," - ")</f>
        <v>0.38503682448589205</v>
      </c>
      <c r="I13" s="854">
        <f>IF(ISNUMBER(((NºAsuntos!I13/NºAsuntos!G13)-Datos!BE13)/Datos!BE13),((NºAsuntos!I13/NºAsuntos!G13)-Datos!BE13)/Datos!BE13," - ")</f>
        <v>-0.29540425521945551</v>
      </c>
      <c r="J13" s="854">
        <f>IF(ISNUMBER((('Resol  Asuntos'!D13/NºAsuntos!G13)-Datos!BF13)/Datos!BF13),(('Resol  Asuntos'!D13/NºAsuntos!G13)-Datos!BF13)/Datos!BF13," - ")</f>
        <v>-0.51766616954865752</v>
      </c>
      <c r="K13" s="854">
        <f>IF(ISNUMBER((((NºAsuntos!C13+NºAsuntos!E13)/NºAsuntos!G13)-Datos!BG13)/Datos!BG13),(((NºAsuntos!C13+NºAsuntos!E13)/NºAsuntos!G13)-Datos!BG13)/Datos!BG13," - ")</f>
        <v>-0.18715966674598372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0.25575447570332482</v>
      </c>
      <c r="C17" s="455">
        <f>IF(ISNUMBER(
   IF(D_I="SI",(Datos!J17-Datos!T17)/Datos!T17,(Datos!J17+Datos!AD17-(Datos!T17+Datos!AL17))/(Datos!T17+Datos!AL17))
     ),IF(D_I="SI",(Datos!J17-Datos!T17)/Datos!T17,(Datos!J17+Datos!AD17-(Datos!T17+Datos!AL17))/(Datos!T17+Datos!AL17))," - ")</f>
        <v>-0.20978552278820375</v>
      </c>
      <c r="D17" s="455">
        <f>IF(ISNUMBER(
   IF(D_I="SI",(Datos!K17-Datos!U17)/Datos!U17,(Datos!K17+Datos!AE17-(Datos!U17+Datos!AM17))/(Datos!U17+Datos!AM17))
     ),IF(D_I="SI",(Datos!K17-Datos!U17)/Datos!U17,(Datos!K17+Datos!AE17-(Datos!U17+Datos!AM17))/(Datos!U17+Datos!AM17))," - ")</f>
        <v>-0.18549422336328628</v>
      </c>
      <c r="E17" s="455">
        <f>IF(ISNUMBER(
   IF(D_I="SI",(Datos!L17-Datos!V17)/Datos!V17,(Datos!L17+Datos!AF17-(Datos!V17+Datos!AN17))/(Datos!V17+Datos!AN17))
     ),IF(D_I="SI",(Datos!L17-Datos!V17)/Datos!V17,(Datos!L17+Datos!AF17-(Datos!V17+Datos!AN17))/(Datos!V17+Datos!AN17))," - ")</f>
        <v>0.24546722454672246</v>
      </c>
      <c r="F17" s="455">
        <f>IF(ISNUMBER((Datos!M17-Datos!W17)/Datos!W17),(Datos!M17-Datos!W17)/Datos!W17," - ")</f>
        <v>-0.33179723502304148</v>
      </c>
      <c r="G17" s="456">
        <f>IF(ISNUMBER((Datos!N17-Datos!X17)/Datos!X17),(Datos!N17-Datos!X17)/Datos!X17," - ")</f>
        <v>-0.12549407114624506</v>
      </c>
      <c r="H17" s="454">
        <f>IF(ISNUMBER(((NºAsuntos!G17/NºAsuntos!E17)-Datos!BD17)/Datos!BD17),((NºAsuntos!G17/NºAsuntos!E17)-Datos!BD17)/Datos!BD17," - ")</f>
        <v>3.0740134641201764E-2</v>
      </c>
      <c r="I17" s="455">
        <f>IF(ISNUMBER(((NºAsuntos!I17/NºAsuntos!G17)-Datos!BE17)/Datos!BE17),((NºAsuntos!I17/NºAsuntos!G17)-Datos!BE17)/Datos!BE17," - ")</f>
        <v>0.52910790846634648</v>
      </c>
      <c r="J17" s="460">
        <f>IF(ISNUMBER((('Resol  Asuntos'!D17/NºAsuntos!G17)-Datos!BF17)/Datos!BF17),(('Resol  Asuntos'!D17/NºAsuntos!G17)-Datos!BF17)/Datos!BF17," - ")</f>
        <v>-0.17962182203774524</v>
      </c>
      <c r="K17" s="461">
        <f>IF(ISNUMBER((((NºAsuntos!C17+NºAsuntos!E17)/NºAsuntos!G17)-Datos!BG17)/Datos!BG17),(((NºAsuntos!C17+NºAsuntos!E17)/NºAsuntos!G17)-Datos!BG17)/Datos!BG17," - ")</f>
        <v>0.16672938961903938</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-0.42268041237113402</v>
      </c>
      <c r="C18" s="455">
        <f>IF(ISNUMBER(
   IF(D_I="SI",(Datos!J18-Datos!T18)/Datos!T18,(Datos!J18+Datos!AD18-(Datos!T18+Datos!AL18))/(Datos!T18+Datos!AL18))
     ),IF(D_I="SI",(Datos!J18-Datos!T18)/Datos!T18,(Datos!J18+Datos!AD18-(Datos!T18+Datos!AL18))/(Datos!T18+Datos!AL18))," - ")</f>
        <v>0.23300970873786409</v>
      </c>
      <c r="D18" s="455">
        <f>IF(ISNUMBER(
   IF(D_I="SI",(Datos!K18-Datos!U18)/Datos!U18,(Datos!K18+Datos!AE18-(Datos!U18+Datos!AM18))/(Datos!U18+Datos!AM18))
     ),IF(D_I="SI",(Datos!K18-Datos!U18)/Datos!U18,(Datos!K18+Datos!AE18-(Datos!U18+Datos!AM18))/(Datos!U18+Datos!AM18))," - ")</f>
        <v>0.13861386138613863</v>
      </c>
      <c r="E18" s="455">
        <f>IF(ISNUMBER(
   IF(D_I="SI",(Datos!L18-Datos!V18)/Datos!V18,(Datos!L18+Datos!AF18-(Datos!V18+Datos!AN18))/(Datos!V18+Datos!AN18))
     ),IF(D_I="SI",(Datos!L18-Datos!V18)/Datos!V18,(Datos!L18+Datos!AF18-(Datos!V18+Datos!AN18))/(Datos!V18+Datos!AN18))," - ")</f>
        <v>0.35353535353535354</v>
      </c>
      <c r="F18" s="455">
        <f>IF(ISNUMBER((Datos!M18-Datos!W18)/Datos!W18),(Datos!M18-Datos!W18)/Datos!W18," - ")</f>
        <v>0.8666666666666667</v>
      </c>
      <c r="G18" s="456">
        <f>IF(ISNUMBER((Datos!N18-Datos!X18)/Datos!X18),(Datos!N18-Datos!X18)/Datos!X18," - ")</f>
        <v>0.52727272727272723</v>
      </c>
      <c r="H18" s="454">
        <f>IF(ISNUMBER(((NºAsuntos!G18/NºAsuntos!E18)-Datos!BD18)/Datos!BD18),((NºAsuntos!G18/NºAsuntos!E18)-Datos!BD18)/Datos!BD18," - ")</f>
        <v>-7.6557262025415199E-2</v>
      </c>
      <c r="I18" s="455">
        <f>IF(ISNUMBER(((NºAsuntos!I18/NºAsuntos!G18)-Datos!BE18)/Datos!BE18),((NºAsuntos!I18/NºAsuntos!G18)-Datos!BE18)/Datos!BE18," - ")</f>
        <v>0.18875713658322349</v>
      </c>
      <c r="J18" s="460">
        <f>IF(ISNUMBER((('Resol  Asuntos'!D18/NºAsuntos!G18)-Datos!BF18)/Datos!BF18),(('Resol  Asuntos'!D18/NºAsuntos!G18)-Datos!BF18)/Datos!BF18," - ")</f>
        <v>0.6394202898550726</v>
      </c>
      <c r="K18" s="461">
        <f>IF(ISNUMBER((((NºAsuntos!C18+NºAsuntos!E18)/NºAsuntos!G18)-Datos!BG18)/Datos!BG18),(((NºAsuntos!C18+NºAsuntos!E18)/NºAsuntos!G18)-Datos!BG18)/Datos!BG18," - ")</f>
        <v>-0.19639130434782612</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0.18088737201365188</v>
      </c>
      <c r="C19" s="852">
        <f>IF(ISNUMBER(
   IF(Criterios!B14="SI",(Datos!J19-Datos!T19)/Datos!T19,(Datos!J19+Datos!AD19-(Datos!T19+Datos!AL19))/(Datos!T19+Datos!AL19))
     ),IF(Criterios!B14="SI",(Datos!J19-Datos!T19)/Datos!T19,(Datos!J19+Datos!AD19-(Datos!T19+Datos!AL19))/(Datos!T19+Datos!AL19))," - ")</f>
        <v>-0.18119122257053291</v>
      </c>
      <c r="D19" s="852">
        <f>IF(ISNUMBER(
   IF(Criterios!B14="SI",(Datos!K19-Datos!U19)/Datos!U19,(Datos!K19+Datos!AE19-(Datos!U19+Datos!AM19))/(Datos!U19+Datos!AM19))
     ),IF(Criterios!B14="SI",(Datos!K19-Datos!U19)/Datos!U19,(Datos!K19+Datos!AE19-(Datos!U19+Datos!AM19))/(Datos!U19+Datos!AM19))," - ")</f>
        <v>-0.16576250753465943</v>
      </c>
      <c r="E19" s="852">
        <f>IF(ISNUMBER(
   IF(Criterios!B14="SI",(Datos!L19-Datos!V19)/Datos!V19,(Datos!L19+Datos!AF19-(Datos!V19+Datos!AN19))/(Datos!V19+Datos!AN19))
     ),IF(Criterios!B14="SI",(Datos!L19-Datos!V19)/Datos!V19,(Datos!L19+Datos!AF19-(Datos!V19+Datos!AN19))/(Datos!V19+Datos!AN19))," - ")</f>
        <v>0.25857843137254904</v>
      </c>
      <c r="F19" s="853">
        <f>IF(ISNUMBER((Datos!M19-Datos!W19)/Datos!W19),(Datos!M19-Datos!W19)/Datos!W19," - ")</f>
        <v>-0.25431034482758619</v>
      </c>
      <c r="G19" s="854">
        <f>IF(ISNUMBER((Datos!N19-Datos!X19)/Datos!X19),(Datos!N19-Datos!X19)/Datos!X19," - ")</f>
        <v>-9.1846298031865045E-2</v>
      </c>
      <c r="H19" s="854">
        <f>IF(ISNUMBER(((NºAsuntos!G19/NºAsuntos!E19)-Datos!BD19)/Datos!BD19),((NºAsuntos!G19/NºAsuntos!E19)-Datos!BD19)/Datos!BD19," - ")</f>
        <v>1.8842879389141112E-2</v>
      </c>
      <c r="I19" s="854">
        <f>IF(ISNUMBER(((NºAsuntos!I19/NºAsuntos!G19)-Datos!BE19)/Datos!BE19),((NºAsuntos!I19/NºAsuntos!G19)-Datos!BE19)/Datos!BE19," - ")</f>
        <v>0.50865723818429109</v>
      </c>
      <c r="J19" s="854">
        <f>IF(ISNUMBER((('Resol  Asuntos'!D19/NºAsuntos!G19)-Datos!BF19)/Datos!BF19),(('Resol  Asuntos'!D19/NºAsuntos!G19)-Datos!BF19)/Datos!BF19," - ")</f>
        <v>-0.10614224137931033</v>
      </c>
      <c r="K19" s="854">
        <f>IF(ISNUMBER((((NºAsuntos!C19+NºAsuntos!E19)/NºAsuntos!G19)-Datos!BG19)/Datos!BG19),(((NºAsuntos!C19+NºAsuntos!E19)/NºAsuntos!G19)-Datos!BG19)/Datos!BG19," - ")</f>
        <v>0.13571198265428669</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-8.8668138337012509E-2</v>
      </c>
      <c r="C20" s="799">
        <f>IF(ISNUMBER(
   IF(J_V="SI",(Datos!J20-Datos!T20)/Datos!T20,(Datos!J20+Datos!Z20-(Datos!T20+Datos!AH20))/(Datos!T20+Datos!AH20))
     ),IF(J_V="SI",(Datos!J20-Datos!T20)/Datos!T20,(Datos!J20+Datos!Z20-(Datos!T20+Datos!AH20))/(Datos!T20+Datos!AH20))," - ")</f>
        <v>-0.30394431554524359</v>
      </c>
      <c r="D20" s="799">
        <f>IF(ISNUMBER(
   IF(J_V="SI",(Datos!K20-Datos!U20)/Datos!U20,(Datos!K20+Datos!AA20-(Datos!U20+Datos!AI20))/(Datos!U20+Datos!AI20))
     ),IF(J_V="SI",(Datos!K20-Datos!U20)/Datos!U20,(Datos!K20+Datos!AA20-(Datos!U20+Datos!AI20))/(Datos!U20+Datos!AI20))," - ")</f>
        <v>-0.16049382716049382</v>
      </c>
      <c r="E20" s="799">
        <f>IF(ISNUMBER(
   IF(J_V="SI",(Datos!L20-Datos!V20)/Datos!V20,(Datos!L20+Datos!AB20-(Datos!V20+Datos!AJ20))/(Datos!V20+Datos!AJ20))
     ),IF(J_V="SI",(Datos!L20-Datos!V20)/Datos!V20,(Datos!L20+Datos!AB20-(Datos!V20+Datos!AJ20))/(Datos!V20+Datos!AJ20))," - ")</f>
        <v>-0.25021373610715303</v>
      </c>
      <c r="F20" s="800">
        <f>IF(ISNUMBER((Datos!M20-Datos!W20)/Datos!W20),(Datos!M20-Datos!W20)/Datos!W20," - ")</f>
        <v>-0.44672131147540983</v>
      </c>
      <c r="G20" s="801">
        <f>IF(ISNUMBER((Datos!N20-Datos!X20)/Datos!X20),(Datos!N20-Datos!X20)/Datos!X20," - ")</f>
        <v>7.1472581638940227E-2</v>
      </c>
      <c r="H20" s="802">
        <f>IF(ISNUMBER((Tasas!B20-Datos!BD20)/Datos!BD20),(Tasas!B20-Datos!BD20)/Datos!BD20," - ")</f>
        <v>0.20609053497942384</v>
      </c>
      <c r="I20" s="803">
        <f>IF(ISNUMBER((Tasas!C20-Datos!BE20)/Datos!BE20),(Tasas!C20-Datos!BE20)/Datos!BE20," - ")</f>
        <v>-0.10687224448057936</v>
      </c>
      <c r="J20" s="804">
        <f>IF(ISNUMBER((Tasas!D20-Datos!BF20)/Datos!BF20),(Tasas!D20-Datos!BF20)/Datos!BF20," - ")</f>
        <v>-0.39771976206212822</v>
      </c>
      <c r="K20" s="804">
        <f>IF(ISNUMBER((Tasas!E20-Datos!BG20)/Datos!BG20),(Tasas!E20-Datos!BG20)/Datos!BG20," - ")</f>
        <v>-6.5223497311612241E-2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mdkB+UA2YIqSyAgXIbzU6Ckh8snuhG8A8ZZCykgdNQwcwzFXlbZauSTUjWu4TD243m69L3/EtLXBstnBB5imqw==" saltValue="QAjYBGgWWu+aq7wvkiUjuw=="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ANDALUCIA</v>
      </c>
    </row>
    <row r="3" spans="1:7" ht="19.5">
      <c r="A3" s="435" t="s">
        <v>12</v>
      </c>
      <c r="B3" s="390" t="str">
        <f>Criterios!A10 &amp;"  "&amp;Criterios!B10</f>
        <v>Provincias  CADIZ</v>
      </c>
    </row>
    <row r="4" spans="1:7" ht="11.25" customHeight="1" thickBot="1">
      <c r="B4" s="390" t="str">
        <f>Criterios!A11 &amp;"  "&amp;Criterios!B11</f>
        <v>Resumenes por Partidos Judiciales  CEUTA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f>IF(ISNUMBER(NºAsuntos!G10/NºAsuntos!E10),NºAsuntos!G10/NºAsuntos!E10," - ")</f>
        <v>0.68421052631578949</v>
      </c>
      <c r="C10" s="442">
        <f>IF(ISNUMBER(NºAsuntos!I10/NºAsuntos!G10),NºAsuntos!I10/NºAsuntos!G10," - ")</f>
        <v>4.5384615384615383</v>
      </c>
      <c r="D10" s="443">
        <f>IF(ISNUMBER('Resol  Asuntos'!D10/NºAsuntos!G10),'Resol  Asuntos'!D10/NºAsuntos!G10," - ")</f>
        <v>0.53846153846153844</v>
      </c>
      <c r="E10" s="444">
        <f>IF(ISNUMBER((NºAsuntos!C10+NºAsuntos!E10)/NºAsuntos!G10),(NºAsuntos!C10+NºAsuntos!E10)/NºAsuntos!G10," - ")</f>
        <v>5.5384615384615383</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0.91272727272727272</v>
      </c>
      <c r="C12" s="442">
        <f>IF(ISNUMBER(NºAsuntos!I12/NºAsuntos!G12),NºAsuntos!I12/NºAsuntos!G12," - ")</f>
        <v>1.2310756972111554</v>
      </c>
      <c r="D12" s="443">
        <f>IF(ISNUMBER('Resol  Asuntos'!D12/NºAsuntos!G12),'Resol  Asuntos'!D12/NºAsuntos!G12," - ")</f>
        <v>0.17928286852589642</v>
      </c>
      <c r="E12" s="444">
        <f>IF(ISNUMBER((NºAsuntos!C12+NºAsuntos!E12)/NºAsuntos!G12),(NºAsuntos!C12+NºAsuntos!E12)/NºAsuntos!G12," - ")</f>
        <v>2.2000000000000002</v>
      </c>
      <c r="G12" s="462"/>
    </row>
    <row r="13" spans="1:7" ht="14.25" thickTop="1" thickBot="1">
      <c r="A13" s="845" t="str">
        <f>Datos!A13</f>
        <v>TOTAL</v>
      </c>
      <c r="B13" s="855">
        <f>IF(ISNUMBER(NºAsuntos!G13/NºAsuntos!E13),NºAsuntos!G13/NºAsuntos!E13," - ")</f>
        <v>0.90961262553802014</v>
      </c>
      <c r="C13" s="856">
        <f>IF(ISNUMBER(NºAsuntos!I13/NºAsuntos!G13),NºAsuntos!I13/NºAsuntos!G13," - ")</f>
        <v>1.2649842271293374</v>
      </c>
      <c r="D13" s="857">
        <f>IF(ISNUMBER('Resol  Asuntos'!D13/NºAsuntos!G13),'Resol  Asuntos'!D13/NºAsuntos!G13," - ")</f>
        <v>0.18296529968454259</v>
      </c>
      <c r="E13" s="858">
        <f>IF(ISNUMBER((NºAsuntos!C13+NºAsuntos!E13)/NºAsuntos!G13),(NºAsuntos!C13+NºAsuntos!E13)/NºAsuntos!G13," - ")</f>
        <v>2.2342271293375395</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1.0763358778625953</v>
      </c>
      <c r="C17" s="442">
        <f>IF(ISNUMBER(NºAsuntos!I17/NºAsuntos!G17),NºAsuntos!I17/NºAsuntos!G17," - ")</f>
        <v>0.70370370370370372</v>
      </c>
      <c r="D17" s="443">
        <f>IF(ISNUMBER('Resol  Asuntos'!D17/NºAsuntos!G17),'Resol  Asuntos'!D17/NºAsuntos!G17," - ")</f>
        <v>0.11426319936958235</v>
      </c>
      <c r="E17" s="444">
        <f>IF(ISNUMBER((NºAsuntos!C17+NºAsuntos!E17)/NºAsuntos!G17),(NºAsuntos!C17+NºAsuntos!E17)/NºAsuntos!G17," - ")</f>
        <v>1.7029156816390858</v>
      </c>
      <c r="G17" s="462"/>
    </row>
    <row r="18" spans="1:7" ht="21.75" thickBot="1">
      <c r="A18" s="401" t="str">
        <f>Datos!A18</f>
        <v>Sección De Violencia sobre la Mujer del TI</v>
      </c>
      <c r="B18" s="441">
        <f>IF(ISNUMBER(NºAsuntos!G18/NºAsuntos!E18),NºAsuntos!G18/NºAsuntos!E18," - ")</f>
        <v>0.90551181102362199</v>
      </c>
      <c r="C18" s="442">
        <f>IF(ISNUMBER(NºAsuntos!I18/NºAsuntos!G18),NºAsuntos!I18/NºAsuntos!G18," - ")</f>
        <v>1.1652173913043478</v>
      </c>
      <c r="D18" s="443">
        <f>IF(ISNUMBER('Resol  Asuntos'!D18/NºAsuntos!G18),'Resol  Asuntos'!D18/NºAsuntos!G18," - ")</f>
        <v>0.24347826086956523</v>
      </c>
      <c r="E18" s="444">
        <f>IF(ISNUMBER((NºAsuntos!C18+NºAsuntos!E18)/NºAsuntos!G18),(NºAsuntos!C18+NºAsuntos!E18)/NºAsuntos!G18," - ")</f>
        <v>1.5913043478260869</v>
      </c>
      <c r="G18" s="462"/>
    </row>
    <row r="19" spans="1:7" ht="14.25" thickTop="1" thickBot="1">
      <c r="A19" s="845" t="str">
        <f>Datos!A19</f>
        <v>TOTAL</v>
      </c>
      <c r="B19" s="855">
        <f>IF(ISNUMBER(NºAsuntos!G19/NºAsuntos!E19),NºAsuntos!G19/NºAsuntos!E19," - ")</f>
        <v>1.0597243491577335</v>
      </c>
      <c r="C19" s="856">
        <f>IF(ISNUMBER(NºAsuntos!I19/NºAsuntos!G19),NºAsuntos!I19/NºAsuntos!G19," - ")</f>
        <v>0.74205202312138729</v>
      </c>
      <c r="D19" s="859">
        <f>IF(ISNUMBER('Resol  Asuntos'!D19/NºAsuntos!G19),'Resol  Asuntos'!D19/NºAsuntos!G19," - ")</f>
        <v>0.125</v>
      </c>
      <c r="E19" s="858">
        <f>IF(ISNUMBER((NºAsuntos!C19+NºAsuntos!E19)/NºAsuntos!G19),(NºAsuntos!C19+NºAsuntos!E19)/NºAsuntos!G19," - ")</f>
        <v>1.6936416184971099</v>
      </c>
      <c r="G19" s="462"/>
    </row>
    <row r="20" spans="1:7" ht="15.75" customHeight="1" thickTop="1" thickBot="1">
      <c r="A20" s="790" t="str">
        <f>Datos!A20</f>
        <v>TOTAL JURISDICCIONES</v>
      </c>
      <c r="B20" s="805">
        <f>IF(ISNUMBER(NºAsuntos!G20/NºAsuntos!E20),NºAsuntos!G20/NºAsuntos!E20," - ")</f>
        <v>0.98222222222222222</v>
      </c>
      <c r="C20" s="806">
        <f>IF(ISNUMBER(NºAsuntos!I20/NºAsuntos!G20),NºAsuntos!I20/NºAsuntos!G20," - ")</f>
        <v>0.99208144796380093</v>
      </c>
      <c r="D20" s="807">
        <f>IF(ISNUMBER('Resol  Asuntos'!D20/NºAsuntos!G20),'Resol  Asuntos'!D20/NºAsuntos!G20," - ")</f>
        <v>0.15271493212669685</v>
      </c>
      <c r="E20" s="808">
        <f>IF(ISNUMBER((NºAsuntos!C20+NºAsuntos!E20)/NºAsuntos!G20),(NºAsuntos!C20+NºAsuntos!E20)/NºAsuntos!G20," - ")</f>
        <v>1.9521116138763197</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uf/erasc5eRVCWkX5/akHOCHhVyH3kec25J7mKDbOAxXUO/IadLgW36PPzs5mrw6AiHo/6NeJ90bjrl8Zpg1TA==" saltValue="nbIRXDm/rNsX5O1Coqf+iw=="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ANDALUCIA</v>
      </c>
      <c r="G2" s="262"/>
      <c r="H2" s="261"/>
      <c r="I2" s="261"/>
      <c r="J2" s="261"/>
      <c r="K2" s="261"/>
      <c r="L2" s="261" t="str">
        <f>Criterios!A10 &amp;"  "&amp;Criterios!B10</f>
        <v>Provincias  CADIZ</v>
      </c>
      <c r="N2" s="261" t="str">
        <f>Criterios!A11 &amp;"  "&amp;Criterios!B11</f>
        <v>Resumenes por Partidos Judiciales  CEUTA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53</v>
      </c>
      <c r="G10" s="332">
        <f>IF(ISNUMBER(Datos!I10),Datos!I10," - ")</f>
        <v>53</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4</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13</v>
      </c>
      <c r="X10" s="225">
        <f>IF(ISNUMBER(Datos!Q10),Datos!Q10," - ")</f>
        <v>5</v>
      </c>
      <c r="Y10" s="333">
        <f t="shared" ref="Y10:Y12" si="0">SUM(W10:X10)</f>
        <v>18</v>
      </c>
      <c r="Z10" s="334" t="str">
        <f>IF(ISNUMBER(Datos!CC10),Datos!CC10," - ")</f>
        <v xml:space="preserve"> - </v>
      </c>
      <c r="AA10" s="331">
        <f>IF(ISNUMBER(Datos!L10),Datos!L10,"-")</f>
        <v>59</v>
      </c>
      <c r="AB10" s="333">
        <f>IF(ISNUMBER(Datos!R10),Datos!R10," - ")</f>
        <v>35</v>
      </c>
      <c r="AC10" s="333">
        <f t="shared" ref="AC10:AC12" si="1">IF(ISNUMBER(AA10+AB10),AA10+AB10," - ")</f>
        <v>94</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7</v>
      </c>
      <c r="AJ10" s="230" t="str">
        <f>IF(ISNUMBER(Datos!BW10),Datos!BW10," - ")</f>
        <v xml:space="preserve"> - </v>
      </c>
      <c r="AK10" s="231" t="str">
        <f>IF(ISNUMBER(Datos!BX10),Datos!BX10," - ")</f>
        <v xml:space="preserve"> - </v>
      </c>
      <c r="AL10" s="242">
        <f>IF(ISNUMBER(NºAsuntos!G10/NºAsuntos!E10),NºAsuntos!G10/NºAsuntos!E10," - ")</f>
        <v>0.68421052631578949</v>
      </c>
      <c r="AM10" s="259">
        <f>IF(ISNUMBER(((NºAsuntos!I10/NºAsuntos!G10)*11)/factor_trimestre),((NºAsuntos!I10/NºAsuntos!G10)*11)/factor_trimestre," - ")</f>
        <v>13.615384615384615</v>
      </c>
      <c r="AN10" s="243">
        <f>IF(ISNUMBER('Resol  Asuntos'!D10/NºAsuntos!G10),'Resol  Asuntos'!D10/NºAsuntos!G10," - ")</f>
        <v>0.53846153846153844</v>
      </c>
      <c r="AO10" s="244">
        <f>IF(ISNUMBER((NºAsuntos!C10+NºAsuntos!E10)/NºAsuntos!G10),(NºAsuntos!C10+NºAsuntos!E10)/NºAsuntos!G10," - ")</f>
        <v>5.5384615384615383</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6</v>
      </c>
      <c r="B12" s="274" t="s">
        <v>247</v>
      </c>
      <c r="C12" s="7" t="str">
        <f>Datos!A12</f>
        <v xml:space="preserve">Sección Civil y de Inst. TI                      </v>
      </c>
      <c r="D12" s="7"/>
      <c r="E12" s="1020">
        <f>IF(ISNUMBER(Datos!AQ12),Datos!AQ12," - ")</f>
        <v>6</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326</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434</v>
      </c>
      <c r="Y12" s="333">
        <f t="shared" si="0"/>
        <v>434</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4004</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225</v>
      </c>
      <c r="AJ12" s="228" t="str">
        <f>IF(ISNUMBER(Datos!BW12),Datos!BW12," - ")</f>
        <v xml:space="preserve"> - </v>
      </c>
      <c r="AK12" s="227" t="str">
        <f>IF(ISNUMBER(Datos!BX12),Datos!BX12," - ")</f>
        <v xml:space="preserve"> - </v>
      </c>
      <c r="AL12" s="242">
        <f>IF(ISNUMBER(NºAsuntos!G12/NºAsuntos!E12),NºAsuntos!G12/NºAsuntos!E12," - ")</f>
        <v>0.91272727272727272</v>
      </c>
      <c r="AM12" s="259">
        <f>IF(ISNUMBER(((NºAsuntos!I12/NºAsuntos!G12)*11)/factor_trimestre),((NºAsuntos!I12/NºAsuntos!G12)*11)/factor_trimestre," - ")</f>
        <v>3.693227091633466</v>
      </c>
      <c r="AN12" s="243">
        <f>IF(ISNUMBER('Resol  Asuntos'!D12/NºAsuntos!G12),'Resol  Asuntos'!D12/NºAsuntos!G12," - ")</f>
        <v>0.17928286852589642</v>
      </c>
      <c r="AO12" s="244">
        <f>IF(ISNUMBER((NºAsuntos!C12+NºAsuntos!E12)/NºAsuntos!G12),(NºAsuntos!C12+NºAsuntos!E12)/NºAsuntos!G12," - ")</f>
        <v>2.2000000000000002</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6</v>
      </c>
      <c r="F13" s="862">
        <f t="shared" si="3"/>
        <v>53</v>
      </c>
      <c r="G13" s="863">
        <f t="shared" si="3"/>
        <v>53</v>
      </c>
      <c r="H13" s="862">
        <f t="shared" si="3"/>
        <v>0</v>
      </c>
      <c r="I13" s="864">
        <f t="shared" si="3"/>
        <v>0</v>
      </c>
      <c r="J13" s="864">
        <f t="shared" si="3"/>
        <v>0</v>
      </c>
      <c r="K13" s="864">
        <f t="shared" si="3"/>
        <v>0</v>
      </c>
      <c r="L13" s="864">
        <f t="shared" si="3"/>
        <v>330</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13</v>
      </c>
      <c r="X13" s="864">
        <f t="shared" si="4"/>
        <v>439</v>
      </c>
      <c r="Y13" s="865">
        <f t="shared" si="4"/>
        <v>452</v>
      </c>
      <c r="Z13" s="865">
        <f t="shared" si="4"/>
        <v>0</v>
      </c>
      <c r="AA13" s="865">
        <f t="shared" si="4"/>
        <v>59</v>
      </c>
      <c r="AB13" s="865">
        <f t="shared" si="4"/>
        <v>4039</v>
      </c>
      <c r="AC13" s="865">
        <f t="shared" si="4"/>
        <v>94</v>
      </c>
      <c r="AD13" s="865">
        <f t="shared" si="4"/>
        <v>0</v>
      </c>
      <c r="AE13" s="869">
        <f t="shared" si="4"/>
        <v>0</v>
      </c>
      <c r="AF13" s="862">
        <f t="shared" si="4"/>
        <v>0</v>
      </c>
      <c r="AG13" s="870">
        <f t="shared" si="4"/>
        <v>0</v>
      </c>
      <c r="AH13" s="867">
        <f t="shared" si="4"/>
        <v>0</v>
      </c>
      <c r="AI13" s="862">
        <f t="shared" si="4"/>
        <v>232</v>
      </c>
      <c r="AJ13" s="864">
        <f t="shared" si="4"/>
        <v>0</v>
      </c>
      <c r="AK13" s="867">
        <f>SUBTOTAL(9,AK9:AK12)</f>
        <v>0</v>
      </c>
      <c r="AL13" s="871">
        <f>IF(ISNUMBER(NºAsuntos!G13/NºAsuntos!E13),NºAsuntos!G13/NºAsuntos!E13," - ")</f>
        <v>0.90961262553802014</v>
      </c>
      <c r="AM13" s="871">
        <f>IF(ISNUMBER(((NºAsuntos!I13/NºAsuntos!G13)*11)/factor_trimestre),((NºAsuntos!I13/NºAsuntos!G13)*11)/factor_trimestre," - ")</f>
        <v>3.7949526813880126</v>
      </c>
      <c r="AN13" s="872">
        <f>IF(ISNUMBER('Resol  Asuntos'!D13/NºAsuntos!G13),'Resol  Asuntos'!D13/NºAsuntos!G13," - ")</f>
        <v>0.18296529968454259</v>
      </c>
      <c r="AO13" s="873">
        <f>IF(ISNUMBER((NºAsuntos!C13+NºAsuntos!E13)/NºAsuntos!G13),(NºAsuntos!C13+NºAsuntos!E13)/NºAsuntos!G13," - ")</f>
        <v>2.2342271293375395</v>
      </c>
      <c r="AP13" s="874" t="str">
        <f t="shared" si="2"/>
        <v xml:space="preserve"> - </v>
      </c>
      <c r="AQ13" s="874">
        <f>IF(ISNUMBER((H13-W13+K13)/(F13)),(H13-W13+K13)/(F13)," - ")</f>
        <v>-0.24528301886792453</v>
      </c>
      <c r="AR13" s="875">
        <f>IF(ISNUMBER((Datos!P13-Datos!Q13)/(Datos!R13-Datos!P13+Datos!Q13)),(Datos!P13-Datos!Q13)/(Datos!R13-Datos!P13+Datos!Q13)," - ")</f>
        <v>-2.6277724204435873E-2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6</v>
      </c>
      <c r="B17" s="274" t="s">
        <v>397</v>
      </c>
      <c r="C17" s="159" t="str">
        <f>Datos!A17</f>
        <v xml:space="preserve">Sección Civil y de Inst. TI                      </v>
      </c>
      <c r="D17" s="159"/>
      <c r="E17" s="1020">
        <f>IF(ISNUMBER(Datos!AQ17),Datos!AQ17," - ")</f>
        <v>6</v>
      </c>
      <c r="F17" s="224">
        <f>IF(ISNUMBER(AA17+W17-Datos!J17-K17),AA17+W17-Datos!J17-K17," - ")</f>
        <v>983</v>
      </c>
      <c r="G17" s="332">
        <f>IF(ISNUMBER(IF(D_I="SI",Datos!I17,Datos!I17+Datos!AC17)),IF(D_I="SI",Datos!I17,Datos!I17+Datos!AC17)," - ")</f>
        <v>982</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54</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1269</v>
      </c>
      <c r="X17" s="225">
        <f>IF(ISNUMBER(Datos!Q17),Datos!Q17," - ")</f>
        <v>50</v>
      </c>
      <c r="Y17" s="333">
        <f t="shared" ref="Y17:Y18" si="9">SUM(W17:X17)</f>
        <v>1319</v>
      </c>
      <c r="Z17" s="334" t="str">
        <f>IF(ISNUMBER(Datos!CC17),Datos!CC17," - ")</f>
        <v xml:space="preserve"> - </v>
      </c>
      <c r="AA17" s="331">
        <f>IF(ISNUMBER(IF(D_I="SI",Datos!L17,Datos!L17+Datos!AF17)),IF(D_I="SI",Datos!L17,Datos!L17+Datos!AF17)," - ")</f>
        <v>893</v>
      </c>
      <c r="AB17" s="333">
        <f>IF(ISNUMBER(Datos!R17),Datos!R17," - ")</f>
        <v>194</v>
      </c>
      <c r="AC17" s="333">
        <f t="shared" si="6"/>
        <v>1087</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145</v>
      </c>
      <c r="AJ17" s="230" t="str">
        <f>IF(ISNUMBER(Datos!BW17),Datos!BW17," - ")</f>
        <v xml:space="preserve"> - </v>
      </c>
      <c r="AK17" s="231" t="str">
        <f>IF(ISNUMBER(Datos!BX17),Datos!BX17," - ")</f>
        <v xml:space="preserve"> - </v>
      </c>
      <c r="AL17" s="242">
        <f>IF(ISNUMBER(NºAsuntos!G17/NºAsuntos!E17),NºAsuntos!G17/NºAsuntos!E17," - ")</f>
        <v>1.0763358778625953</v>
      </c>
      <c r="AM17" s="259">
        <f>IF(ISNUMBER(((NºAsuntos!I17/NºAsuntos!G17)*11)/factor_trimestre),((NºAsuntos!I17/NºAsuntos!G17)*11)/factor_trimestre," - ")</f>
        <v>2.1111111111111112</v>
      </c>
      <c r="AN17" s="243">
        <f>IF(ISNUMBER('Resol  Asuntos'!D17/NºAsuntos!G17),'Resol  Asuntos'!D17/NºAsuntos!G17," - ")</f>
        <v>0.11426319936958235</v>
      </c>
      <c r="AO17" s="244">
        <f>IF(ISNUMBER((NºAsuntos!C17+NºAsuntos!E17)/NºAsuntos!G17),(NºAsuntos!C17+NºAsuntos!E17)/NºAsuntos!G17," - ")</f>
        <v>1.7029156816390858</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56</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4</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115</v>
      </c>
      <c r="X18" s="225">
        <f>IF(ISNUMBER(Datos!Q18),Datos!Q18," - ")</f>
        <v>4</v>
      </c>
      <c r="Y18" s="333">
        <f t="shared" si="9"/>
        <v>119</v>
      </c>
      <c r="Z18" s="334" t="str">
        <f>IF(ISNUMBER(Datos!CC18),Datos!CC18," - ")</f>
        <v xml:space="preserve"> - </v>
      </c>
      <c r="AA18" s="331">
        <f>IF(ISNUMBER(Datos!L18),Datos!L18,"-")</f>
        <v>134</v>
      </c>
      <c r="AB18" s="333">
        <f>IF(ISNUMBER(Datos!R18),Datos!R18," - ")</f>
        <v>13</v>
      </c>
      <c r="AC18" s="333">
        <f t="shared" si="6"/>
        <v>147</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28</v>
      </c>
      <c r="AJ18" s="230" t="str">
        <f>IF(ISNUMBER(Datos!BW18),Datos!BW18," - ")</f>
        <v xml:space="preserve"> - </v>
      </c>
      <c r="AK18" s="231" t="str">
        <f>IF(ISNUMBER(Datos!BX18),Datos!BX18," - ")</f>
        <v xml:space="preserve"> - </v>
      </c>
      <c r="AL18" s="242">
        <f>IF(ISNUMBER(NºAsuntos!G18/NºAsuntos!E18),NºAsuntos!G18/NºAsuntos!E18," - ")</f>
        <v>0.90551181102362199</v>
      </c>
      <c r="AM18" s="259">
        <f>IF(ISNUMBER(((NºAsuntos!I18/NºAsuntos!G18)*11)/factor_trimestre),((NºAsuntos!I18/NºAsuntos!G18)*11)/factor_trimestre," - ")</f>
        <v>3.4956521739130437</v>
      </c>
      <c r="AN18" s="243">
        <f>IF(ISNUMBER('Resol  Asuntos'!D18/NºAsuntos!G18),'Resol  Asuntos'!D18/NºAsuntos!G18," - ")</f>
        <v>0.24347826086956523</v>
      </c>
      <c r="AO18" s="244">
        <f>IF(ISNUMBER((NºAsuntos!C18+NºAsuntos!E18)/NºAsuntos!G18),(NºAsuntos!C18+NºAsuntos!E18)/NºAsuntos!G18," - ")</f>
        <v>1.5913043478260869</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6</v>
      </c>
      <c r="F19" s="862">
        <f>SUBTOTAL(9,F14:F18)</f>
        <v>983</v>
      </c>
      <c r="G19" s="863">
        <f>SUBTOTAL(9,G15:G18)</f>
        <v>1038</v>
      </c>
      <c r="H19" s="862">
        <f t="shared" ref="H19:O19" si="12">SUBTOTAL(9,H14:H18)</f>
        <v>0</v>
      </c>
      <c r="I19" s="864">
        <f t="shared" si="12"/>
        <v>0</v>
      </c>
      <c r="J19" s="864">
        <f t="shared" si="12"/>
        <v>0</v>
      </c>
      <c r="K19" s="864">
        <f t="shared" si="12"/>
        <v>0</v>
      </c>
      <c r="L19" s="864">
        <f t="shared" si="12"/>
        <v>58</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1384</v>
      </c>
      <c r="X19" s="864">
        <f t="shared" si="13"/>
        <v>54</v>
      </c>
      <c r="Y19" s="865">
        <f t="shared" si="13"/>
        <v>1438</v>
      </c>
      <c r="Z19" s="865">
        <f t="shared" si="13"/>
        <v>0</v>
      </c>
      <c r="AA19" s="865">
        <f t="shared" si="13"/>
        <v>1027</v>
      </c>
      <c r="AB19" s="865">
        <f t="shared" si="13"/>
        <v>207</v>
      </c>
      <c r="AC19" s="865">
        <f t="shared" si="13"/>
        <v>1234</v>
      </c>
      <c r="AD19" s="865">
        <f t="shared" si="13"/>
        <v>0</v>
      </c>
      <c r="AE19" s="869">
        <f t="shared" si="13"/>
        <v>0</v>
      </c>
      <c r="AF19" s="862">
        <f t="shared" si="13"/>
        <v>0</v>
      </c>
      <c r="AG19" s="870">
        <f t="shared" si="13"/>
        <v>0</v>
      </c>
      <c r="AH19" s="867">
        <f t="shared" si="13"/>
        <v>0</v>
      </c>
      <c r="AI19" s="862">
        <f t="shared" si="13"/>
        <v>173</v>
      </c>
      <c r="AJ19" s="864">
        <f t="shared" si="13"/>
        <v>0</v>
      </c>
      <c r="AK19" s="867">
        <f t="shared" si="13"/>
        <v>0</v>
      </c>
      <c r="AL19" s="871">
        <f>IF(ISNUMBER(NºAsuntos!G19/NºAsuntos!E19),NºAsuntos!G19/NºAsuntos!E19," - ")</f>
        <v>1.0597243491577335</v>
      </c>
      <c r="AM19" s="871">
        <f>IF(ISNUMBER(((NºAsuntos!I19/NºAsuntos!G19)*11)/factor_trimestre),((NºAsuntos!I19/NºAsuntos!G19)*11)/factor_trimestre," - ")</f>
        <v>2.2261560693641615</v>
      </c>
      <c r="AN19" s="872">
        <f>IF(ISNUMBER('Resol  Asuntos'!D19/NºAsuntos!G19),'Resol  Asuntos'!D19/NºAsuntos!G19," - ")</f>
        <v>0.125</v>
      </c>
      <c r="AO19" s="873">
        <f>IF(ISNUMBER((NºAsuntos!C19+NºAsuntos!E19)/NºAsuntos!G19),(NºAsuntos!C19+NºAsuntos!E19)/NºAsuntos!G19," - ")</f>
        <v>1.6936416184971099</v>
      </c>
      <c r="AP19" s="874" t="str">
        <f t="shared" si="2"/>
        <v xml:space="preserve"> - </v>
      </c>
      <c r="AQ19" s="874">
        <f>IF(ISNUMBER((H19-W19+K19)/(F19)),(H19-W19+K19)/(F19)," - ")</f>
        <v>-1.4079348931841302</v>
      </c>
      <c r="AR19" s="875">
        <f>IF(ISNUMBER((Datos!P19-Datos!Q19)/(Datos!R19-Datos!P19+Datos!Q19)),(Datos!P19-Datos!Q19)/(Datos!R19-Datos!P19+Datos!Q19)," - ")</f>
        <v>1.9704433497536946E-2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12</v>
      </c>
      <c r="F20" s="817">
        <f t="shared" si="15"/>
        <v>1036</v>
      </c>
      <c r="G20" s="818">
        <f t="shared" si="15"/>
        <v>1091</v>
      </c>
      <c r="H20" s="817">
        <f t="shared" si="15"/>
        <v>0</v>
      </c>
      <c r="I20" s="819">
        <f t="shared" si="15"/>
        <v>0</v>
      </c>
      <c r="J20" s="819">
        <f t="shared" si="15"/>
        <v>0</v>
      </c>
      <c r="K20" s="878">
        <f t="shared" si="15"/>
        <v>0</v>
      </c>
      <c r="L20" s="819">
        <f t="shared" si="15"/>
        <v>388</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1397</v>
      </c>
      <c r="X20" s="818">
        <f t="shared" si="16"/>
        <v>493</v>
      </c>
      <c r="Y20" s="825">
        <f t="shared" si="16"/>
        <v>1890</v>
      </c>
      <c r="Z20" s="825">
        <f t="shared" si="16"/>
        <v>0</v>
      </c>
      <c r="AA20" s="825">
        <f t="shared" si="16"/>
        <v>1086</v>
      </c>
      <c r="AB20" s="825">
        <f t="shared" si="16"/>
        <v>4246</v>
      </c>
      <c r="AC20" s="825">
        <f t="shared" si="16"/>
        <v>1328</v>
      </c>
      <c r="AD20" s="825">
        <f t="shared" si="16"/>
        <v>0</v>
      </c>
      <c r="AE20" s="827">
        <f t="shared" si="16"/>
        <v>0</v>
      </c>
      <c r="AF20" s="828">
        <f t="shared" si="16"/>
        <v>0</v>
      </c>
      <c r="AG20" s="829">
        <f t="shared" si="16"/>
        <v>0</v>
      </c>
      <c r="AH20" s="827">
        <f t="shared" si="16"/>
        <v>0</v>
      </c>
      <c r="AI20" s="817">
        <f t="shared" si="16"/>
        <v>405</v>
      </c>
      <c r="AJ20" s="817">
        <f t="shared" si="16"/>
        <v>0</v>
      </c>
      <c r="AK20" s="827">
        <f t="shared" si="16"/>
        <v>0</v>
      </c>
      <c r="AL20" s="881">
        <f>IF(ISNUMBER(NºAsuntos!G20/NºAsuntos!E20),NºAsuntos!G20/NºAsuntos!E20," - ")</f>
        <v>0.98222222222222222</v>
      </c>
      <c r="AM20" s="882">
        <f>IF(ISNUMBER(((NºAsuntos!I20/NºAsuntos!G20)*11)/factor_trimestre),((NºAsuntos!I20/NºAsuntos!G20)*11)/factor_trimestre," - ")</f>
        <v>2.9762443438914028</v>
      </c>
      <c r="AN20" s="882">
        <f>IF(ISNUMBER('Resol  Asuntos'!D20/NºAsuntos!G20),'Resol  Asuntos'!D20/NºAsuntos!G20," - ")</f>
        <v>0.15271493212669685</v>
      </c>
      <c r="AO20" s="883">
        <f>IF(ISNUMBER((NºAsuntos!C20+NºAsuntos!E20)/NºAsuntos!G20),(NºAsuntos!C20+NºAsuntos!E20)/NºAsuntos!G20," - ")</f>
        <v>1.9521116138763197</v>
      </c>
      <c r="AP20" s="884" t="str">
        <f t="shared" si="2"/>
        <v xml:space="preserve"> - </v>
      </c>
      <c r="AQ20" s="885">
        <f>IF(OR(ISNUMBER(FIND("01",Criterios!A8,1)),ISNUMBER(FIND("02",Criterios!A8,1)),ISNUMBER(FIND("03",Criterios!A8,1)),ISNUMBER(FIND("04",Criterios!A8,1))),(I20-W20+K20)/(F20-K20),(H20-W20+K20)/(F20-K20))</f>
        <v>-1.3484555984555984</v>
      </c>
      <c r="AR20" s="886">
        <f>IF(ISNUMBER((Datos!P20-Datos!Q20)/(Datos!R20-Datos!P20+Datos!Q20)),(Datos!P20-Datos!Q20)/(Datos!R20-Datos!P20+Datos!Q20)," - ")</f>
        <v>-2.4132383360147093E-2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436.4</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3.0983866769659336</v>
      </c>
      <c r="F22" s="251">
        <f>IF(ISNUMBER(STDEV(F8:F19)),STDEV(F8:F19),"-")</f>
        <v>536.93575034635194</v>
      </c>
      <c r="G22" s="252">
        <f>IF(ISNUMBER(STDEV(G8:G19)),STDEV(G8:G19),"-")</f>
        <v>523.99837786008459</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703.22343533190076</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96.835943739915095</v>
      </c>
      <c r="AJ22" s="251">
        <f t="shared" si="20"/>
        <v>0</v>
      </c>
      <c r="AK22" s="253">
        <f t="shared" si="20"/>
        <v>0</v>
      </c>
      <c r="AL22" s="248">
        <f t="shared" si="20"/>
        <v>0.14127941246637987</v>
      </c>
      <c r="AM22" s="249">
        <f t="shared" si="20"/>
        <v>4.3703337847958634</v>
      </c>
      <c r="AN22" s="249">
        <f t="shared" si="20"/>
        <v>0.15781805765681189</v>
      </c>
      <c r="AO22" s="250">
        <f t="shared" si="20"/>
        <v>1.5168328449878117</v>
      </c>
      <c r="AP22" s="290" t="str">
        <f t="shared" si="20"/>
        <v>-</v>
      </c>
      <c r="AQ22" s="291">
        <f t="shared" si="20"/>
        <v>0.82211902448823859</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Cihbg465o0TLlrXxpye2buMlGLwT0S7EHxpcL2wtQkWDHqZH4ZGMTz5tAl3I7grzQh3wp7nsw5Peife++0CABw==" saltValue="v+FC+7MrtzJI2A4FcmRlS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ANDALUCIA</v>
      </c>
      <c r="E2" s="262"/>
    </row>
    <row r="3" spans="2:20" ht="17.25" customHeight="1">
      <c r="C3" s="266"/>
      <c r="D3" s="261" t="str">
        <f>Criterios!A10 &amp;"  "&amp;Criterios!B10</f>
        <v>Provincias  CADIZ</v>
      </c>
      <c r="E3" s="262"/>
    </row>
    <row r="4" spans="2:20" ht="17.25" customHeight="1" thickBot="1">
      <c r="D4" s="261" t="str">
        <f>Criterios!A11 &amp;"  "&amp;Criterios!B11</f>
        <v>Resumenes por Partidos Judiciales  CEUTA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0.60606060606060608</v>
      </c>
      <c r="E10" s="347">
        <f>IF(ISNUMBER((Datos!J10-Datos!T10)/Datos!T10),(Datos!J10-Datos!T10)/Datos!T10," - ")</f>
        <v>-0.55813953488372092</v>
      </c>
      <c r="F10" s="347">
        <f>IF(ISNUMBER((Datos!K10-Datos!U10)/Datos!U10),(Datos!K10-Datos!U10)/Datos!U10," - ")</f>
        <v>-0.40909090909090912</v>
      </c>
      <c r="G10" s="348">
        <f>IF(ISNUMBER((Datos!L10-Datos!V10)/Datos!V10),(Datos!L10-Datos!V10)/Datos!V10," - ")</f>
        <v>1.7241379310344827E-2</v>
      </c>
      <c r="H10" s="229">
        <f>IF(ISNUMBER((Datos!M10-Datos!W10)/Datos!W10),(Datos!M10-Datos!W10)/Datos!W10," - ")</f>
        <v>-0.61111111111111116</v>
      </c>
      <c r="I10" s="349">
        <f>IF(ISNUMBER((Tasas!C10-Datos!BE10)/Datos!BE10),(Tasas!C10-Datos!BE10)/Datos!BE10," - ")</f>
        <v>0.72148541114058362</v>
      </c>
      <c r="J10" s="348">
        <f>IF(ISNUMBER((Tasas!D10-Datos!BF10)/Datos!BF10),(Tasas!D10-Datos!BF10)/Datos!BF10," - ")</f>
        <v>-0.34188034188034194</v>
      </c>
      <c r="K10" s="350">
        <f>IF(ISNUMBER((Tasas!E10-Datos!BG10)/Datos!BG10),(Tasas!E10-Datos!BG10)/Datos!BG10," - ")</f>
        <v>0.60323886639676105</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-0.53319502074688796</v>
      </c>
      <c r="I12" s="349">
        <f>IF(ISNUMBER((Tasas!C12-Datos!BE12)/Datos!BE12),(Tasas!C12-Datos!BE12)/Datos!BE12," - ")</f>
        <v>-0.30947632619427418</v>
      </c>
      <c r="J12" s="348">
        <f>IF(ISNUMBER((Tasas!D12-Datos!BF12)/Datos!BF12),(Tasas!D12-Datos!BF12)/Datos!BF12," - ")</f>
        <v>-0.51909241437155196</v>
      </c>
      <c r="K12" s="350">
        <f>IF(ISNUMBER((Tasas!E12-Datos!BG12)/Datos!BG12),(Tasas!E12-Datos!BG12)/Datos!BG12," - ")</f>
        <v>-0.19654064739313065</v>
      </c>
      <c r="M12" t="e">
        <f>IF(Monitorios="SI",Datos!CE12,0)</f>
        <v>#REF!</v>
      </c>
      <c r="N12" t="e">
        <f>IF(Monitorios="SI",Datos!CF12,0)</f>
        <v>#REF!</v>
      </c>
      <c r="O12" t="e">
        <f>IF(Monitorios="SI",Datos!CG12,0)</f>
        <v>#REF!</v>
      </c>
      <c r="P12" t="e">
        <f>IF(Monitorios="SI",Datos!CH12,0)</f>
        <v>#REF!</v>
      </c>
      <c r="Q12">
        <f>IF(J_V="SI",0,Datos!AG12)</f>
        <v>32</v>
      </c>
      <c r="R12">
        <f>IF(J_V="SI",0,Datos!AH12)</f>
        <v>84</v>
      </c>
      <c r="S12">
        <f>IF(J_V="SI",0,Datos!AI12)</f>
        <v>92</v>
      </c>
      <c r="T12">
        <f>IF(J_V="SI",0,Datos!AJ12)</f>
        <v>34</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-0.53600000000000003</v>
      </c>
      <c r="I13" s="356">
        <f>IF(ISNUMBER((Tasas!C13-Datos!BE13)/Datos!BE13),(Tasas!C13-Datos!BE13)/Datos!BE13," - ")</f>
        <v>-0.29540425521945551</v>
      </c>
      <c r="J13" s="354">
        <f>IF(ISNUMBER((Tasas!D13-Datos!BF13)/Datos!BF13),(Tasas!D13-Datos!BF13)/Datos!BF13," - ")</f>
        <v>-0.51766616954865752</v>
      </c>
      <c r="K13" s="357">
        <f>IF(ISNUMBER((Tasas!E13-Datos!BG13)/Datos!BG13),(Tasas!E13-Datos!BG13)/Datos!BG13," - ")</f>
        <v>-0.18715966674598372</v>
      </c>
      <c r="M13" t="e">
        <f>IF(Monitorios="SI",Datos!CE13,0)</f>
        <v>#REF!</v>
      </c>
      <c r="N13" t="e">
        <f>IF(Monitorios="SI",Datos!CF13,0)</f>
        <v>#REF!</v>
      </c>
      <c r="O13" t="e">
        <f>IF(Monitorios="SI",Datos!CG13,0)</f>
        <v>#REF!</v>
      </c>
      <c r="P13" t="e">
        <f>IF(Monitorios="SI",Datos!CH13,0)</f>
        <v>#REF!</v>
      </c>
      <c r="Q13">
        <f>IF(J_V="SI",0,Datos!AG13)</f>
        <v>32</v>
      </c>
      <c r="R13">
        <f>IF(J_V="SI",0,Datos!AH13)</f>
        <v>84</v>
      </c>
      <c r="S13">
        <f>IF(J_V="SI",0,Datos!AI13)</f>
        <v>92</v>
      </c>
      <c r="T13">
        <f>IF(J_V="SI",0,Datos!AJ13)</f>
        <v>34</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0.25575447570332482</v>
      </c>
      <c r="E17" s="347">
        <f>IF(ISNUMBER(
   IF(D_I="SI",(Datos!J17-Datos!T17)/Datos!T17,(Datos!J17+Datos!AD17-(Datos!T17+Datos!AL17))/(Datos!T17+Datos!AL17))
     ),IF(D_I="SI",(Datos!J17-Datos!T17)/Datos!T17,(Datos!J17+Datos!AD17-(Datos!T17+Datos!AL17))/(Datos!T17+Datos!AL17))," - ")</f>
        <v>-0.20978552278820375</v>
      </c>
      <c r="F17" s="347">
        <f>IF(ISNUMBER(
   IF(D_I="SI",(Datos!K17-Datos!U17)/Datos!U17,(Datos!K17+Datos!AE17-(Datos!U17+Datos!AM17))/(Datos!U17+Datos!AM17))
     ),IF(D_I="SI",(Datos!K17-Datos!U17)/Datos!U17,(Datos!K17+Datos!AE17-(Datos!U17+Datos!AM17))/(Datos!U17+Datos!AM17))," - ")</f>
        <v>-0.18549422336328628</v>
      </c>
      <c r="G17" s="348">
        <f>IF(ISNUMBER(
   IF(D_I="SI",(Datos!L17-Datos!V17)/Datos!V17,(Datos!L17+Datos!AF17-(Datos!V17+Datos!AN17))/(Datos!V17+Datos!AN17))
     ),IF(D_I="SI",(Datos!L17-Datos!V17)/Datos!V17,(Datos!L17+Datos!AF17-(Datos!V17+Datos!AN17))/(Datos!V17+Datos!AN17))," - ")</f>
        <v>0.24546722454672246</v>
      </c>
      <c r="H17" s="229">
        <f>IF(ISNUMBER((Datos!M17-Datos!W17)/Datos!W17),(Datos!M17-Datos!W17)/Datos!W17," - ")</f>
        <v>-0.33179723502304148</v>
      </c>
      <c r="I17" s="349">
        <f>IF(ISNUMBER((Tasas!C17-Datos!BE17)/Datos!BE17),(Tasas!C17-Datos!BE17)/Datos!BE17," - ")</f>
        <v>0.52910790846634648</v>
      </c>
      <c r="J17" s="348">
        <f>IF(ISNUMBER((Tasas!D17-Datos!BF17)/Datos!BF17),(Tasas!D17-Datos!BF17)/Datos!BF17," - ")</f>
        <v>-0.17962182203774524</v>
      </c>
      <c r="K17" s="350">
        <f>IF(ISNUMBER((Tasas!E17-Datos!BG17)/Datos!BG17),(Tasas!E17-Datos!BG17)/Datos!BG17," - ")</f>
        <v>0.16672938961903938</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-0.42268041237113402</v>
      </c>
      <c r="E18" s="347">
        <f>IF(ISNUMBER(
   IF(D_I="SI",(Datos!J18-Datos!T18)/Datos!T18,(Datos!J18+Datos!AD18-(Datos!T18+Datos!AL18))/(Datos!T18+Datos!AL18))
     ),IF(D_I="SI",(Datos!J18-Datos!T18)/Datos!T18,(Datos!J18+Datos!AD18-(Datos!T18+Datos!AL18))/(Datos!T18+Datos!AL18))," - ")</f>
        <v>0.23300970873786409</v>
      </c>
      <c r="F18" s="347">
        <f>IF(ISNUMBER(
   IF(D_I="SI",(Datos!K18-Datos!U18)/Datos!U18,(Datos!K18+Datos!AE18-(Datos!U18+Datos!AM18))/(Datos!U18+Datos!AM18))
     ),IF(D_I="SI",(Datos!K18-Datos!U18)/Datos!U18,(Datos!K18+Datos!AE18-(Datos!U18+Datos!AM18))/(Datos!U18+Datos!AM18))," - ")</f>
        <v>0.13861386138613863</v>
      </c>
      <c r="G18" s="348">
        <f>IF(ISNUMBER(
   IF(D_I="SI",(Datos!L18-Datos!V18)/Datos!V18,(Datos!L18+Datos!AF18-(Datos!V18+Datos!AN18))/(Datos!V18+Datos!AN18))
     ),IF(D_I="SI",(Datos!L18-Datos!V18)/Datos!V18,(Datos!L18+Datos!AF18-(Datos!V18+Datos!AN18))/(Datos!V18+Datos!AN18))," - ")</f>
        <v>0.35353535353535354</v>
      </c>
      <c r="H18" s="229">
        <f>IF(ISNUMBER((Datos!M18-Datos!W18)/Datos!W18),(Datos!M18-Datos!W18)/Datos!W18," - ")</f>
        <v>0.8666666666666667</v>
      </c>
      <c r="I18" s="349">
        <f>IF(ISNUMBER((Tasas!C18-Datos!BE18)/Datos!BE18),(Tasas!C18-Datos!BE18)/Datos!BE18," - ")</f>
        <v>0.18875713658322349</v>
      </c>
      <c r="J18" s="348">
        <f>IF(ISNUMBER((Tasas!D18-Datos!BF18)/Datos!BF18),(Tasas!D18-Datos!BF18)/Datos!BF18," - ")</f>
        <v>0.6394202898550726</v>
      </c>
      <c r="K18" s="350">
        <f>IF(ISNUMBER((Tasas!E18-Datos!BG18)/Datos!BG18),(Tasas!E18-Datos!BG18)/Datos!BG18," - ")</f>
        <v>-0.19639130434782612</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0.18088737201365188</v>
      </c>
      <c r="E19" s="353">
        <f>IF(ISNUMBER(
   IF(D_I="SI",(Datos!J19-Datos!T19)/Datos!T19,(Datos!J19+Datos!AD19-(Datos!T19+Datos!AL19))/(Datos!T19+Datos!AL19))
     ),IF(D_I="SI",(Datos!J19-Datos!T19)/Datos!T19,(Datos!J19+Datos!AD19-(Datos!T19+Datos!AL19))/(Datos!T19+Datos!AL19))," - ")</f>
        <v>-0.18119122257053291</v>
      </c>
      <c r="F19" s="353">
        <f>IF(ISNUMBER(
   IF(D_I="SI",(Datos!K19-Datos!U19)/Datos!U19,(Datos!K19+Datos!AE19-(Datos!U19+Datos!AM19))/(Datos!U19+Datos!AM19))
     ),IF(D_I="SI",(Datos!K19-Datos!U19)/Datos!U19,(Datos!K19+Datos!AE19-(Datos!U19+Datos!AM19))/(Datos!U19+Datos!AM19))," - ")</f>
        <v>-0.16576250753465943</v>
      </c>
      <c r="G19" s="354">
        <f>IF(ISNUMBER(
   IF(D_I="SI",(Datos!L19-Datos!V19)/Datos!V19,(Datos!L19+Datos!AF19-(Datos!V19+Datos!AN19))/(Datos!V19+Datos!AN19))
     ),IF(D_I="SI",(Datos!L19-Datos!V19)/Datos!V19,(Datos!L19+Datos!AF19-(Datos!V19+Datos!AN19))/(Datos!V19+Datos!AN19))," - ")</f>
        <v>0.25857843137254904</v>
      </c>
      <c r="H19" s="355">
        <f>IF(ISNUMBER((Datos!M19-Datos!W19)/Datos!W19),(Datos!M19-Datos!W19)/Datos!W19," - ")</f>
        <v>-0.25431034482758619</v>
      </c>
      <c r="I19" s="356">
        <f>IF(ISNUMBER((Tasas!C19-Datos!BE19)/Datos!BE19),(Tasas!C19-Datos!BE19)/Datos!BE19," - ")</f>
        <v>0.50865723818429109</v>
      </c>
      <c r="J19" s="354">
        <f>IF(ISNUMBER((Tasas!D19-Datos!BF19)/Datos!BF19),(Tasas!D19-Datos!BF19)/Datos!BF19," - ")</f>
        <v>-0.10614224137931033</v>
      </c>
      <c r="K19" s="357">
        <f>IF(ISNUMBER((Tasas!E19-Datos!BG19)/Datos!BG19),(Tasas!E19-Datos!BG19)/Datos!BG19," - ")</f>
        <v>0.13571198265428669</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-8.8668138337012509E-2</v>
      </c>
      <c r="E20" s="362">
        <f>IF(ISNUMBER(
   IF(J_V="SI",(Datos!J20-Datos!T20)/Datos!T20,(Datos!J20+Datos!Z20-(Datos!T20+Datos!AH20))/(Datos!T20+Datos!AH20))
     ),IF(J_V="SI",(Datos!J20-Datos!T20)/Datos!T20,(Datos!J20+Datos!Z20-(Datos!T20+Datos!AH20))/(Datos!T20+Datos!AH20))," - ")</f>
        <v>-0.30394431554524359</v>
      </c>
      <c r="F20" s="362">
        <f>IF(ISNUMBER(
   IF(J_V="SI",(Datos!K20-Datos!U20)/Datos!U20,(Datos!K20+Datos!AA20-(Datos!U20+Datos!AI20))/(Datos!U20+Datos!AI20))
     ),IF(J_V="SI",(Datos!K20-Datos!U20)/Datos!U20,(Datos!K20+Datos!AA20-(Datos!U20+Datos!AI20))/(Datos!U20+Datos!AI20))," - ")</f>
        <v>-0.16049382716049382</v>
      </c>
      <c r="G20" s="363">
        <f>IF(ISNUMBER(
   IF(J_V="SI",(Datos!L20-Datos!V20)/Datos!V20,(Datos!L20+Datos!AB20-(Datos!V20+Datos!AJ20))/(Datos!V20+Datos!AJ20))
     ),IF(J_V="SI",(Datos!L20-Datos!V20)/Datos!V20,(Datos!L20+Datos!AB20-(Datos!V20+Datos!AJ20))/(Datos!V20+Datos!AJ20))," - ")</f>
        <v>-0.25021373610715303</v>
      </c>
      <c r="H20" s="364">
        <f>IF(ISNUMBER((Datos!M20-Datos!W20)/Datos!W20),(Datos!M20-Datos!W20)/Datos!W20," - ")</f>
        <v>-0.44672131147540983</v>
      </c>
      <c r="I20" s="361">
        <f>IF(ISNUMBER((Tasas!C20-Datos!BE20)/Datos!BE20),(Tasas!C20-Datos!BE20)/Datos!BE20," - ")</f>
        <v>-0.10687224448057936</v>
      </c>
      <c r="J20" s="362">
        <f>IF(ISNUMBER((Tasas!D20-Datos!BF20)/Datos!BF20),(Tasas!D20-Datos!BF20)/Datos!BF20," - ")</f>
        <v>-0.39771976206212822</v>
      </c>
      <c r="K20" s="363">
        <f>IF(ISNUMBER((Tasas!E20-Datos!BG20)/Datos!BG20),(Tasas!E20-Datos!BG20)/Datos!BG20," - ")</f>
        <v>-6.5223497311612241E-2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0.42739207193536549</v>
      </c>
      <c r="E22" s="277">
        <f t="shared" si="1"/>
        <v>0.32375470860742145</v>
      </c>
      <c r="F22" s="277">
        <f t="shared" si="1"/>
        <v>0.22495649017134109</v>
      </c>
      <c r="G22" s="278">
        <f t="shared" si="1"/>
        <v>0.14268020405384174</v>
      </c>
      <c r="H22" s="284">
        <f t="shared" si="1"/>
        <v>0.55576530232736798</v>
      </c>
      <c r="I22" s="276">
        <f t="shared" si="1"/>
        <v>0.44209320662958213</v>
      </c>
      <c r="J22" s="277">
        <f t="shared" si="1"/>
        <v>0.4316497635091664</v>
      </c>
      <c r="K22" s="278">
        <f t="shared" si="1"/>
        <v>0.31770177251289267</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lbS+ZryQgXyhtveIZrJ3bNrYqm7NIr2GxRg5B8rb2DF26ZpmbitAOqbRa/EKL+o9/dB6tbORUMM7LT3SovmdLg==" saltValue="nyvo+sbKB2nrZYhjCSnSFg=="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2026-06-18T10:50:01Z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